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uzannerowe/Desktop/Sample heatloss w:"/>
    </mc:Choice>
  </mc:AlternateContent>
  <bookViews>
    <workbookView xWindow="0" yWindow="460" windowWidth="28800" windowHeight="17460" xr2:uid="{00000000-000D-0000-FFFF-FFFF00000000}"/>
  </bookViews>
  <sheets>
    <sheet name="Heat Loss" sheetId="1" r:id="rId1"/>
    <sheet name="Project Highlight" sheetId="15" r:id="rId2"/>
    <sheet name="Incentives" sheetId="16" state="hidden" r:id="rId3"/>
    <sheet name="Steam Usage" sheetId="17" state="hidden" r:id="rId4"/>
    <sheet name="PIPE" sheetId="9" state="hidden" r:id="rId5"/>
    <sheet name="Steam Trap Losses" sheetId="13" state="hidden" r:id="rId6"/>
    <sheet name="Smart Jacket ROI" sheetId="14" state="hidden" r:id="rId7"/>
  </sheets>
  <definedNames>
    <definedName name="_xlnm._FilterDatabase" localSheetId="0" hidden="1">'Heat Loss'!$A$8:$W$8</definedName>
    <definedName name="_xlnm.Print_Area" localSheetId="0">'Heat Loss'!$A$1:$V$51</definedName>
    <definedName name="_xlnm.Print_Area" localSheetId="1">'Project Highlight'!$A$1:$L$38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1" l="1"/>
  <c r="S41" i="1"/>
  <c r="S43" i="1"/>
  <c r="S19" i="1"/>
  <c r="S20" i="1"/>
  <c r="S24" i="1"/>
  <c r="S38" i="1"/>
  <c r="S42" i="1"/>
  <c r="S44" i="1"/>
  <c r="S21" i="1"/>
  <c r="S22" i="1"/>
  <c r="S25" i="1"/>
  <c r="S31" i="1"/>
  <c r="S10" i="1"/>
  <c r="S30" i="1"/>
  <c r="S32" i="1"/>
  <c r="S45" i="1"/>
  <c r="S46" i="1"/>
  <c r="S29" i="1"/>
  <c r="S39" i="1"/>
  <c r="S16" i="1"/>
  <c r="S17" i="1"/>
  <c r="S40" i="1"/>
  <c r="S47" i="1"/>
  <c r="S12" i="1"/>
  <c r="S48" i="1"/>
  <c r="S49" i="1"/>
  <c r="S13" i="1"/>
  <c r="S50" i="1"/>
  <c r="S14" i="1"/>
  <c r="S26" i="1"/>
  <c r="S9" i="1"/>
  <c r="C18" i="14" s="1"/>
  <c r="B30" i="14" s="1"/>
  <c r="S15" i="1"/>
  <c r="S28" i="1"/>
  <c r="S18" i="1"/>
  <c r="S23" i="1"/>
  <c r="S11" i="1"/>
  <c r="S33" i="1"/>
  <c r="S36" i="1"/>
  <c r="S34" i="1"/>
  <c r="S35" i="1"/>
  <c r="S27" i="1"/>
  <c r="E8" i="13"/>
  <c r="E10" i="13"/>
  <c r="E11" i="13" s="1"/>
  <c r="N33" i="13" s="1"/>
  <c r="N34" i="13" s="1"/>
  <c r="T4" i="1"/>
  <c r="S4" i="1"/>
  <c r="R4" i="1"/>
  <c r="E5" i="16"/>
  <c r="B6" i="17"/>
  <c r="P31" i="1"/>
  <c r="U31" i="1"/>
  <c r="V31" i="1"/>
  <c r="W31" i="1"/>
  <c r="P10" i="1"/>
  <c r="U10" i="1"/>
  <c r="V10" i="1"/>
  <c r="W10" i="1"/>
  <c r="P30" i="1"/>
  <c r="U30" i="1"/>
  <c r="V30" i="1"/>
  <c r="W30" i="1"/>
  <c r="P32" i="1"/>
  <c r="U32" i="1"/>
  <c r="V32" i="1"/>
  <c r="W32" i="1"/>
  <c r="P45" i="1"/>
  <c r="U45" i="1"/>
  <c r="V45" i="1"/>
  <c r="W45" i="1"/>
  <c r="P46" i="1"/>
  <c r="U46" i="1"/>
  <c r="V46" i="1"/>
  <c r="W46" i="1"/>
  <c r="P29" i="1"/>
  <c r="U29" i="1"/>
  <c r="V29" i="1"/>
  <c r="W29" i="1"/>
  <c r="P39" i="1"/>
  <c r="U39" i="1"/>
  <c r="V39" i="1"/>
  <c r="W39" i="1"/>
  <c r="P16" i="1"/>
  <c r="U16" i="1"/>
  <c r="V16" i="1"/>
  <c r="W16" i="1"/>
  <c r="P17" i="1"/>
  <c r="U17" i="1"/>
  <c r="V17" i="1"/>
  <c r="W17" i="1"/>
  <c r="P40" i="1"/>
  <c r="U40" i="1"/>
  <c r="V40" i="1"/>
  <c r="W40" i="1"/>
  <c r="P47" i="1"/>
  <c r="U47" i="1"/>
  <c r="V47" i="1"/>
  <c r="W47" i="1"/>
  <c r="P12" i="1"/>
  <c r="U12" i="1"/>
  <c r="V12" i="1"/>
  <c r="W12" i="1"/>
  <c r="P48" i="1"/>
  <c r="U48" i="1"/>
  <c r="V48" i="1"/>
  <c r="W48" i="1"/>
  <c r="P49" i="1"/>
  <c r="U49" i="1"/>
  <c r="V49" i="1"/>
  <c r="W49" i="1"/>
  <c r="P13" i="1"/>
  <c r="U13" i="1"/>
  <c r="V13" i="1"/>
  <c r="W13" i="1"/>
  <c r="P50" i="1"/>
  <c r="U50" i="1"/>
  <c r="V50" i="1"/>
  <c r="W50" i="1"/>
  <c r="P14" i="1"/>
  <c r="U14" i="1"/>
  <c r="V14" i="1"/>
  <c r="W14" i="1"/>
  <c r="P26" i="1"/>
  <c r="U26" i="1"/>
  <c r="V26" i="1"/>
  <c r="W26" i="1"/>
  <c r="P9" i="1"/>
  <c r="U9" i="1"/>
  <c r="V9" i="1"/>
  <c r="W9" i="1"/>
  <c r="P15" i="1"/>
  <c r="U15" i="1"/>
  <c r="V15" i="1"/>
  <c r="W15" i="1"/>
  <c r="P28" i="1"/>
  <c r="U28" i="1"/>
  <c r="V28" i="1"/>
  <c r="W28" i="1"/>
  <c r="P18" i="1"/>
  <c r="U18" i="1"/>
  <c r="V18" i="1"/>
  <c r="W18" i="1"/>
  <c r="P23" i="1"/>
  <c r="U23" i="1"/>
  <c r="V23" i="1"/>
  <c r="W23" i="1"/>
  <c r="P11" i="1"/>
  <c r="U11" i="1"/>
  <c r="V11" i="1"/>
  <c r="W11" i="1"/>
  <c r="P33" i="1"/>
  <c r="U33" i="1"/>
  <c r="V33" i="1"/>
  <c r="W33" i="1"/>
  <c r="P36" i="1"/>
  <c r="U36" i="1"/>
  <c r="V36" i="1"/>
  <c r="W36" i="1"/>
  <c r="P34" i="1"/>
  <c r="U34" i="1"/>
  <c r="V34" i="1"/>
  <c r="W34" i="1"/>
  <c r="P35" i="1"/>
  <c r="U35" i="1"/>
  <c r="V35" i="1"/>
  <c r="W35" i="1"/>
  <c r="P27" i="1"/>
  <c r="U27" i="1"/>
  <c r="V27" i="1"/>
  <c r="W27" i="1"/>
  <c r="P42" i="1"/>
  <c r="U42" i="1"/>
  <c r="V42" i="1"/>
  <c r="W42" i="1"/>
  <c r="P44" i="1"/>
  <c r="U44" i="1"/>
  <c r="V44" i="1"/>
  <c r="W44" i="1"/>
  <c r="P21" i="1"/>
  <c r="U21" i="1"/>
  <c r="V21" i="1"/>
  <c r="W21" i="1"/>
  <c r="P22" i="1"/>
  <c r="U22" i="1"/>
  <c r="V22" i="1"/>
  <c r="W22" i="1"/>
  <c r="P25" i="1"/>
  <c r="U25" i="1"/>
  <c r="V25" i="1"/>
  <c r="W25" i="1"/>
  <c r="W38" i="1"/>
  <c r="V38" i="1"/>
  <c r="U38" i="1"/>
  <c r="P38" i="1"/>
  <c r="B4" i="1"/>
  <c r="B10" i="15" s="1"/>
  <c r="W37" i="1"/>
  <c r="W41" i="1"/>
  <c r="W43" i="1"/>
  <c r="W19" i="1"/>
  <c r="W20" i="1"/>
  <c r="W24" i="1"/>
  <c r="K19" i="13"/>
  <c r="I19" i="13"/>
  <c r="L19" i="13"/>
  <c r="J19" i="13"/>
  <c r="M19" i="13"/>
  <c r="N19" i="13"/>
  <c r="N31" i="13"/>
  <c r="N36" i="13"/>
  <c r="E38" i="14" s="1"/>
  <c r="P41" i="1"/>
  <c r="P43" i="1"/>
  <c r="P19" i="1"/>
  <c r="P20" i="1"/>
  <c r="P24" i="1"/>
  <c r="P37" i="1"/>
  <c r="H31" i="13"/>
  <c r="B11" i="14"/>
  <c r="E14" i="14"/>
  <c r="D11" i="14"/>
  <c r="D13" i="14"/>
  <c r="B6" i="14"/>
  <c r="B6" i="15"/>
  <c r="U37" i="1"/>
  <c r="U41" i="1"/>
  <c r="U43" i="1"/>
  <c r="U19" i="1"/>
  <c r="U20" i="1"/>
  <c r="U24" i="1"/>
  <c r="V37" i="1"/>
  <c r="V41" i="1"/>
  <c r="V43" i="1"/>
  <c r="V19" i="1"/>
  <c r="V20" i="1"/>
  <c r="V24" i="1"/>
  <c r="B8" i="15"/>
  <c r="F4" i="13"/>
  <c r="J31" i="13"/>
  <c r="I31" i="13"/>
  <c r="I13" i="9"/>
  <c r="J13" i="9"/>
  <c r="L13" i="9"/>
  <c r="M13" i="9"/>
  <c r="N13" i="9"/>
  <c r="I12" i="9"/>
  <c r="J12" i="9"/>
  <c r="L12" i="9"/>
  <c r="M12" i="9"/>
  <c r="N12" i="9"/>
  <c r="I11" i="9"/>
  <c r="J11" i="9"/>
  <c r="L11" i="9"/>
  <c r="M11" i="9"/>
  <c r="N11" i="9"/>
  <c r="I10" i="9"/>
  <c r="J10" i="9"/>
  <c r="M10" i="9"/>
  <c r="L10" i="9"/>
  <c r="N10" i="9"/>
  <c r="I9" i="9"/>
  <c r="J9" i="9"/>
  <c r="L9" i="9"/>
  <c r="M9" i="9"/>
  <c r="N9" i="9"/>
  <c r="I8" i="9"/>
  <c r="J8" i="9"/>
  <c r="L8" i="9"/>
  <c r="M8" i="9"/>
  <c r="N8" i="9"/>
  <c r="I7" i="9"/>
  <c r="J7" i="9"/>
  <c r="L7" i="9"/>
  <c r="M7" i="9"/>
  <c r="N7" i="9"/>
  <c r="I6" i="9"/>
  <c r="J6" i="9"/>
  <c r="M6" i="9"/>
  <c r="L6" i="9"/>
  <c r="N6" i="9"/>
  <c r="I5" i="9"/>
  <c r="J5" i="9"/>
  <c r="L5" i="9"/>
  <c r="M5" i="9"/>
  <c r="I34" i="9"/>
  <c r="J34" i="9"/>
  <c r="L34" i="9"/>
  <c r="I33" i="9"/>
  <c r="J33" i="9"/>
  <c r="L33" i="9"/>
  <c r="I32" i="9"/>
  <c r="J32" i="9"/>
  <c r="L32" i="9"/>
  <c r="I31" i="9"/>
  <c r="J31" i="9"/>
  <c r="L31" i="9"/>
  <c r="I30" i="9"/>
  <c r="J30" i="9"/>
  <c r="L30" i="9"/>
  <c r="I29" i="9"/>
  <c r="J29" i="9"/>
  <c r="L29" i="9"/>
  <c r="I28" i="9"/>
  <c r="J28" i="9"/>
  <c r="L28" i="9"/>
  <c r="I27" i="9"/>
  <c r="J27" i="9"/>
  <c r="L27" i="9"/>
  <c r="I26" i="9"/>
  <c r="J26" i="9"/>
  <c r="L26" i="9"/>
  <c r="I25" i="9"/>
  <c r="J25" i="9"/>
  <c r="L25" i="9"/>
  <c r="I24" i="9"/>
  <c r="J24" i="9"/>
  <c r="L24" i="9"/>
  <c r="I23" i="9"/>
  <c r="J23" i="9"/>
  <c r="L23" i="9"/>
  <c r="T22" i="9"/>
  <c r="S22" i="9"/>
  <c r="R22" i="9"/>
  <c r="Q22" i="9"/>
  <c r="P22" i="9"/>
  <c r="I22" i="9"/>
  <c r="J22" i="9"/>
  <c r="L22" i="9"/>
  <c r="T21" i="9"/>
  <c r="S21" i="9"/>
  <c r="R21" i="9"/>
  <c r="Q21" i="9"/>
  <c r="P21" i="9"/>
  <c r="I21" i="9"/>
  <c r="J21" i="9"/>
  <c r="L21" i="9"/>
  <c r="T20" i="9"/>
  <c r="S20" i="9"/>
  <c r="R20" i="9"/>
  <c r="Q20" i="9"/>
  <c r="P20" i="9"/>
  <c r="I20" i="9"/>
  <c r="J20" i="9"/>
  <c r="L20" i="9"/>
  <c r="T19" i="9"/>
  <c r="S19" i="9"/>
  <c r="R19" i="9"/>
  <c r="Q19" i="9"/>
  <c r="P19" i="9"/>
  <c r="I19" i="9"/>
  <c r="J19" i="9"/>
  <c r="L19" i="9"/>
  <c r="T18" i="9"/>
  <c r="S18" i="9"/>
  <c r="R18" i="9"/>
  <c r="Q18" i="9"/>
  <c r="P18" i="9"/>
  <c r="I18" i="9"/>
  <c r="J18" i="9"/>
  <c r="L18" i="9"/>
  <c r="T17" i="9"/>
  <c r="S17" i="9"/>
  <c r="R17" i="9"/>
  <c r="Q17" i="9"/>
  <c r="P17" i="9"/>
  <c r="I17" i="9"/>
  <c r="J17" i="9"/>
  <c r="L17" i="9"/>
  <c r="T16" i="9"/>
  <c r="S16" i="9"/>
  <c r="R16" i="9"/>
  <c r="Q16" i="9"/>
  <c r="P16" i="9"/>
  <c r="I16" i="9"/>
  <c r="J16" i="9"/>
  <c r="L16" i="9"/>
  <c r="T15" i="9"/>
  <c r="S15" i="9"/>
  <c r="R15" i="9"/>
  <c r="Q15" i="9"/>
  <c r="P15" i="9"/>
  <c r="I15" i="9"/>
  <c r="J15" i="9"/>
  <c r="L15" i="9"/>
  <c r="T14" i="9"/>
  <c r="S14" i="9"/>
  <c r="R14" i="9"/>
  <c r="Q14" i="9"/>
  <c r="P14" i="9"/>
  <c r="I14" i="9"/>
  <c r="J14" i="9"/>
  <c r="L14" i="9"/>
  <c r="T13" i="9"/>
  <c r="S13" i="9"/>
  <c r="R13" i="9"/>
  <c r="Q13" i="9"/>
  <c r="P13" i="9"/>
  <c r="O19" i="13"/>
  <c r="M2" i="9"/>
  <c r="N5" i="9"/>
  <c r="N2" i="9"/>
  <c r="U2" i="9"/>
  <c r="L2" i="9"/>
  <c r="C11" i="14"/>
  <c r="C13" i="14"/>
  <c r="B13" i="14"/>
  <c r="E13" i="14"/>
  <c r="E15" i="14"/>
  <c r="B25" i="14"/>
  <c r="E25" i="14"/>
  <c r="C25" i="14"/>
  <c r="D25" i="14"/>
  <c r="E28" i="14"/>
  <c r="E29" i="14"/>
  <c r="E30" i="14"/>
  <c r="C30" i="14"/>
  <c r="C28" i="14"/>
  <c r="C29" i="14"/>
  <c r="C31" i="14"/>
  <c r="E31" i="14"/>
  <c r="N3" i="1" l="1"/>
  <c r="P5" i="1" s="1"/>
  <c r="B29" i="15" s="1"/>
  <c r="B28" i="14"/>
  <c r="R36" i="1"/>
  <c r="R9" i="1"/>
  <c r="S51" i="1"/>
  <c r="K3" i="1" s="1"/>
  <c r="B14" i="15" s="1"/>
  <c r="W51" i="1"/>
  <c r="Q3" i="1" s="1"/>
  <c r="E4" i="16" s="1"/>
  <c r="R23" i="1"/>
  <c r="E12" i="13"/>
  <c r="P19" i="13" s="1"/>
  <c r="P31" i="13" s="1"/>
  <c r="B29" i="14"/>
  <c r="B31" i="14" s="1"/>
  <c r="E1" i="16"/>
  <c r="V51" i="1"/>
  <c r="B32" i="15" s="1"/>
  <c r="U51" i="1"/>
  <c r="B31" i="15" s="1"/>
  <c r="R13" i="1"/>
  <c r="R39" i="1"/>
  <c r="R32" i="1"/>
  <c r="R25" i="1"/>
  <c r="R19" i="1"/>
  <c r="R18" i="1"/>
  <c r="R49" i="1"/>
  <c r="R40" i="1"/>
  <c r="R29" i="1"/>
  <c r="R22" i="1"/>
  <c r="R38" i="1"/>
  <c r="R43" i="1"/>
  <c r="R28" i="1"/>
  <c r="R30" i="1"/>
  <c r="R26" i="1"/>
  <c r="R50" i="1"/>
  <c r="R42" i="1"/>
  <c r="R47" i="1"/>
  <c r="R34" i="1"/>
  <c r="R20" i="1"/>
  <c r="R15" i="1"/>
  <c r="R27" i="1"/>
  <c r="R33" i="1"/>
  <c r="R14" i="1"/>
  <c r="R48" i="1"/>
  <c r="R17" i="1"/>
  <c r="R46" i="1"/>
  <c r="R10" i="1"/>
  <c r="R21" i="1"/>
  <c r="R24" i="1"/>
  <c r="R41" i="1"/>
  <c r="R35" i="1"/>
  <c r="R11" i="1"/>
  <c r="R12" i="1"/>
  <c r="R16" i="1"/>
  <c r="R45" i="1"/>
  <c r="R31" i="1"/>
  <c r="R44" i="1"/>
  <c r="B33" i="15" l="1"/>
  <c r="E39" i="14"/>
  <c r="E40" i="14" s="1"/>
  <c r="R3" i="1"/>
  <c r="E6" i="16"/>
  <c r="E2" i="16"/>
  <c r="E3" i="16"/>
  <c r="Q51" i="1"/>
  <c r="R37" i="1"/>
  <c r="B15" i="15"/>
  <c r="B16" i="15" s="1"/>
  <c r="B25" i="15" s="1"/>
  <c r="C20" i="14"/>
  <c r="E7" i="16"/>
  <c r="S3" i="1"/>
  <c r="E8" i="16" s="1"/>
  <c r="B27" i="15" l="1"/>
  <c r="D28" i="14"/>
  <c r="D31" i="14" s="1"/>
  <c r="C34" i="14" s="1"/>
  <c r="C35" i="14" s="1"/>
  <c r="C37" i="14" s="1"/>
  <c r="D30" i="14"/>
  <c r="D29" i="14"/>
  <c r="K4" i="1"/>
  <c r="B12" i="15" s="1"/>
  <c r="B23" i="15" s="1"/>
  <c r="O3" i="1"/>
  <c r="F6" i="16" l="1"/>
  <c r="F5" i="16"/>
  <c r="F2" i="16"/>
  <c r="F4" i="16"/>
  <c r="F1" i="16"/>
  <c r="T5" i="1" s="1"/>
  <c r="F3" i="16"/>
  <c r="F7" i="16"/>
  <c r="F8" i="16"/>
  <c r="K5" i="1" l="1"/>
  <c r="K6" i="1" s="1"/>
  <c r="B18" i="15"/>
  <c r="B20" i="15" s="1"/>
</calcChain>
</file>

<file path=xl/sharedStrings.xml><?xml version="1.0" encoding="utf-8"?>
<sst xmlns="http://schemas.openxmlformats.org/spreadsheetml/2006/main" count="469" uniqueCount="229">
  <si>
    <t>Description</t>
  </si>
  <si>
    <t>Bare BTU/hr/sf lost</t>
  </si>
  <si>
    <t>Insulated BTU/hr/sf lost</t>
  </si>
  <si>
    <t>Item</t>
  </si>
  <si>
    <t>SF/ component</t>
  </si>
  <si>
    <t>Hrs in service/yr.</t>
  </si>
  <si>
    <t>Insulation Thickness</t>
  </si>
  <si>
    <t>Total yearly savings if insulated</t>
  </si>
  <si>
    <t>REPORT SUMMARY:</t>
  </si>
  <si>
    <t>YEARLY SAVINGS IF INSULATED:</t>
  </si>
  <si>
    <t>Payback in Months</t>
  </si>
  <si>
    <t>Total Insulation Jacket Cost:</t>
  </si>
  <si>
    <t>Nominal Pipe Size</t>
  </si>
  <si>
    <t>Ambient Temp</t>
  </si>
  <si>
    <r>
      <t xml:space="preserve">Operating Temp </t>
    </r>
    <r>
      <rPr>
        <b/>
        <sz val="11"/>
        <color theme="1"/>
        <rFont val="Calibri"/>
        <family val="2"/>
      </rPr>
      <t>⁰F</t>
    </r>
  </si>
  <si>
    <r>
      <t xml:space="preserve">Insulated Touch Temp </t>
    </r>
    <r>
      <rPr>
        <b/>
        <sz val="11"/>
        <color theme="1"/>
        <rFont val="Calibri"/>
        <family val="2"/>
      </rPr>
      <t>⁰F</t>
    </r>
  </si>
  <si>
    <t>Date</t>
  </si>
  <si>
    <t>Job Name</t>
  </si>
  <si>
    <t>Opp Number</t>
  </si>
  <si>
    <t>Dollars LOST per yr. if Uninsulated</t>
  </si>
  <si>
    <t>Therms Saved Per Year</t>
  </si>
  <si>
    <t>Post Therms</t>
  </si>
  <si>
    <t>Pre   Therms</t>
  </si>
  <si>
    <t>Boiler Efficiency</t>
  </si>
  <si>
    <t xml:space="preserve"> </t>
  </si>
  <si>
    <t>Total Savings:</t>
  </si>
  <si>
    <t>Steam heating pipe insulation savings:</t>
  </si>
  <si>
    <t>Steel, Fiberglass:</t>
  </si>
  <si>
    <t>Pipe use</t>
  </si>
  <si>
    <t>Pipe size (in)</t>
  </si>
  <si>
    <t>Insulation thickness (existing)</t>
  </si>
  <si>
    <t>Insulation thickness (proposed)</t>
  </si>
  <si>
    <t>Insulation material</t>
  </si>
  <si>
    <t>Pipe length (ft)</t>
  </si>
  <si>
    <r>
      <t>(UA/L)</t>
    </r>
    <r>
      <rPr>
        <vertAlign val="subscript"/>
        <sz val="11"/>
        <color theme="1"/>
        <rFont val="Calibri"/>
        <family val="2"/>
        <scheme val="minor"/>
      </rPr>
      <t>base</t>
    </r>
  </si>
  <si>
    <r>
      <t>(UA/L)</t>
    </r>
    <r>
      <rPr>
        <vertAlign val="subscript"/>
        <sz val="11"/>
        <color theme="1"/>
        <rFont val="Calibri"/>
        <family val="2"/>
        <scheme val="minor"/>
      </rPr>
      <t>ee</t>
    </r>
  </si>
  <si>
    <t>Heating hours</t>
  </si>
  <si>
    <t>Therms saved</t>
  </si>
  <si>
    <t>Post</t>
  </si>
  <si>
    <t>Pre</t>
  </si>
  <si>
    <t>d</t>
  </si>
  <si>
    <t>Steam</t>
  </si>
  <si>
    <t>Hot Water</t>
  </si>
  <si>
    <t>Pipe size</t>
  </si>
  <si>
    <t>Insul thck</t>
  </si>
  <si>
    <t>In mat</t>
  </si>
  <si>
    <t>Fiberglass</t>
  </si>
  <si>
    <t>Rigid foam</t>
  </si>
  <si>
    <t>Jackets</t>
  </si>
  <si>
    <t>Therms Saved</t>
  </si>
  <si>
    <t>Total Cost</t>
  </si>
  <si>
    <t>ThermaXX LLC Heat Loss Analysis</t>
  </si>
  <si>
    <t>Total Yearly Savings</t>
  </si>
  <si>
    <t>Steam System Assumptions</t>
  </si>
  <si>
    <t>Failed Traps Losses at 50% Total Steam Capacity</t>
  </si>
  <si>
    <t>Leaking Traps Losses at 12.5% Total Steam Capacity</t>
  </si>
  <si>
    <t>Cost of Fuel:</t>
  </si>
  <si>
    <t xml:space="preserve"> /MMBtu</t>
  </si>
  <si>
    <t>Fuel Purchased</t>
  </si>
  <si>
    <t>MMBtu</t>
  </si>
  <si>
    <t>Steam Produced</t>
  </si>
  <si>
    <t xml:space="preserve"> Mlb</t>
  </si>
  <si>
    <t>Cost of Steam:</t>
  </si>
  <si>
    <t xml:space="preserve"> /Mlb</t>
  </si>
  <si>
    <t>Single</t>
  </si>
  <si>
    <t xml:space="preserve">Total </t>
  </si>
  <si>
    <t>Annual</t>
  </si>
  <si>
    <t xml:space="preserve">Steam </t>
  </si>
  <si>
    <t>Orifice</t>
  </si>
  <si>
    <t>Trap</t>
  </si>
  <si>
    <t xml:space="preserve">Boiler </t>
  </si>
  <si>
    <t>Economic</t>
  </si>
  <si>
    <t>Hours/</t>
  </si>
  <si>
    <t>Press.</t>
  </si>
  <si>
    <t>Dia.</t>
  </si>
  <si>
    <t>Failed</t>
  </si>
  <si>
    <t>Leaking</t>
  </si>
  <si>
    <t>Loss</t>
  </si>
  <si>
    <t>Losses</t>
  </si>
  <si>
    <t>Impact</t>
  </si>
  <si>
    <t>Year</t>
  </si>
  <si>
    <t>Psig</t>
  </si>
  <si>
    <t>Equip.</t>
  </si>
  <si>
    <t>Model</t>
  </si>
  <si>
    <t>(Inches)</t>
  </si>
  <si>
    <t>Qty</t>
  </si>
  <si>
    <t>Loss/hr</t>
  </si>
  <si>
    <t>Lb/hr</t>
  </si>
  <si>
    <t>Mlb/year</t>
  </si>
  <si>
    <t>MMBtu/yr</t>
  </si>
  <si>
    <t>$/year</t>
  </si>
  <si>
    <t>Drip</t>
  </si>
  <si>
    <t>BKT</t>
  </si>
  <si>
    <t>TOTALS -</t>
  </si>
  <si>
    <t xml:space="preserve">Steam Produced  </t>
  </si>
  <si>
    <t xml:space="preserve">Boiler Savings  </t>
  </si>
  <si>
    <t>CO2 Greenhouse Reduction (Tons/yr)*</t>
  </si>
  <si>
    <t>*CO2 reduction of 118 pounds (0.059 Tons) for every MMBtu of natural gas saved.</t>
  </si>
  <si>
    <t>Scope, Cost and Inputs</t>
  </si>
  <si>
    <t>jackets</t>
  </si>
  <si>
    <t>Sensors</t>
  </si>
  <si>
    <t>Monitoring</t>
  </si>
  <si>
    <t>Total</t>
  </si>
  <si>
    <t>Number of Sensors</t>
  </si>
  <si>
    <t>Jacket Cost</t>
  </si>
  <si>
    <t>Monitoring-3yrs</t>
  </si>
  <si>
    <t>Project Total</t>
  </si>
  <si>
    <t>Sensors per Gateway</t>
  </si>
  <si>
    <t>Project Cost</t>
  </si>
  <si>
    <t>Jacket Energy Savings per Year</t>
  </si>
  <si>
    <t>Labor for Trap Testing per Year</t>
  </si>
  <si>
    <t>Plugged Trap</t>
  </si>
  <si>
    <t>ROI</t>
  </si>
  <si>
    <t>Type</t>
  </si>
  <si>
    <t>Jacket Savings</t>
  </si>
  <si>
    <t>Inspection Labor</t>
  </si>
  <si>
    <t>Trap Failure Prevention</t>
  </si>
  <si>
    <t>Plugged Traps</t>
  </si>
  <si>
    <t>Savings</t>
  </si>
  <si>
    <t>Yearly</t>
  </si>
  <si>
    <t>From steam trap losses tab</t>
  </si>
  <si>
    <t>2 hours at 60.00 per hour/trap/year</t>
  </si>
  <si>
    <t>Blow thru &amp; leaking trap Prevention</t>
  </si>
  <si>
    <t>Nominal cost of $0.00/Trap</t>
  </si>
  <si>
    <t>steam trap insulation jacket, 24" inlet insulation sleeve &amp; 24" outlet insulation sleeve</t>
  </si>
  <si>
    <t>Incentive</t>
  </si>
  <si>
    <t>Project Highlights</t>
  </si>
  <si>
    <r>
      <t>ROI</t>
    </r>
    <r>
      <rPr>
        <vertAlign val="superscript"/>
        <sz val="18"/>
        <color theme="1"/>
        <rFont val="Calibri"/>
        <family val="2"/>
        <scheme val="minor"/>
      </rPr>
      <t>2</t>
    </r>
  </si>
  <si>
    <t>Monthly Cost of waiting</t>
  </si>
  <si>
    <t>Months</t>
  </si>
  <si>
    <t>Total Project Cost</t>
  </si>
  <si>
    <t>CO2 reduction of 118 pounds (0.059 Tons) for every MMBtu of natural gas saved.</t>
  </si>
  <si>
    <t>5 Years of Savings</t>
  </si>
  <si>
    <t>Pre Therms</t>
  </si>
  <si>
    <t>Cost/MMBTU</t>
  </si>
  <si>
    <t>ROI Months + Plugged Trap Notification</t>
  </si>
  <si>
    <t>CO2 Greenhouse Reduction (Tons/yr)* from blowing and leaking steam traps</t>
  </si>
  <si>
    <t>CO2 Greenhouse Reduction (Tons/yr)* from insulation jacket energy savings</t>
  </si>
  <si>
    <t>Total CO2 Greenhouse Reduction (Tons/yr)* This project</t>
  </si>
  <si>
    <t>Location 1</t>
  </si>
  <si>
    <t>Total Jacket Savings</t>
  </si>
  <si>
    <t>Total Steam Trap Failure Prevention</t>
  </si>
  <si>
    <t>CO2 Greenhouse Reduction (MTons/yr)*</t>
  </si>
  <si>
    <t>CO2 Greenhouse Reduction (Metric Tons/yr)</t>
  </si>
  <si>
    <t>Potential Incentive</t>
  </si>
  <si>
    <t>Location 2</t>
  </si>
  <si>
    <t>Initial Payback in Months:</t>
  </si>
  <si>
    <t>ConEd</t>
  </si>
  <si>
    <t>Avangrid</t>
  </si>
  <si>
    <t>DC SEU</t>
  </si>
  <si>
    <t>Per Therm</t>
  </si>
  <si>
    <t>Per CCF</t>
  </si>
  <si>
    <t>Per MCF</t>
  </si>
  <si>
    <t>National Grid - NY</t>
  </si>
  <si>
    <t>National Grid - MA</t>
  </si>
  <si>
    <t>National Grid - RI</t>
  </si>
  <si>
    <t>Up to:</t>
  </si>
  <si>
    <t>Therms</t>
  </si>
  <si>
    <t>CCF</t>
  </si>
  <si>
    <t>MCF</t>
  </si>
  <si>
    <t>Pipe Heating/Cooling/Hot Water</t>
  </si>
  <si>
    <t>Pipe Heating Only</t>
  </si>
  <si>
    <t>Pipe Cooling Only</t>
  </si>
  <si>
    <t>Duct Heating Only</t>
  </si>
  <si>
    <t>Duct Cooling Only</t>
  </si>
  <si>
    <t>Duct Heating and Cooling</t>
  </si>
  <si>
    <t>Total Price</t>
  </si>
  <si>
    <t>Incentive (if Applicable):</t>
  </si>
  <si>
    <t>ROI2= Amount of Time for initial Project payback (Incentive if applicable + Payback)</t>
  </si>
  <si>
    <t>Eversource - CT</t>
  </si>
  <si>
    <t>Eversource - MA</t>
  </si>
  <si>
    <t>Location 3</t>
  </si>
  <si>
    <t>Pipe Straight Feet</t>
  </si>
  <si>
    <t>Heating plant</t>
  </si>
  <si>
    <t>Top of Boiler 1</t>
  </si>
  <si>
    <t>-</t>
  </si>
  <si>
    <t>6 Globe Valve 250/300 (300-449°F) 1"+5mm</t>
  </si>
  <si>
    <t>1"+5mm</t>
  </si>
  <si>
    <t>8 Globe Valve 250/300 (300-449°F) 1"+5mm</t>
  </si>
  <si>
    <t>Back of Boiler 1</t>
  </si>
  <si>
    <t>Boiler Drum</t>
  </si>
  <si>
    <t>2 Globe Valve NPT (0-299°F) 15mm</t>
  </si>
  <si>
    <t>15mm</t>
  </si>
  <si>
    <t>Below 4</t>
  </si>
  <si>
    <t>2" Hard Pipe Insulation x1' 1 1/2"</t>
  </si>
  <si>
    <t>1.5"</t>
  </si>
  <si>
    <t>Top of Boiler 2</t>
  </si>
  <si>
    <t>Below 10</t>
  </si>
  <si>
    <t>Back of Boiler 2</t>
  </si>
  <si>
    <t>Next to boiler 1</t>
  </si>
  <si>
    <t>Right of Asset 1</t>
  </si>
  <si>
    <t>3 PRV 125/150 (0-299°F) 1"</t>
  </si>
  <si>
    <t>1"</t>
  </si>
  <si>
    <t>Opposite # 13</t>
  </si>
  <si>
    <t>Other side of blue boiler</t>
  </si>
  <si>
    <t>1.25 PRV NPT (0-299°F) 1"</t>
  </si>
  <si>
    <t>Above glycol line</t>
  </si>
  <si>
    <t>3 Control Valve 125/150 (0-299°F) 1"</t>
  </si>
  <si>
    <t>Left of boiler 2</t>
  </si>
  <si>
    <t>4 Gate Valve 250/300 (300-449°F) 1"+5mm</t>
  </si>
  <si>
    <t>Bottom back of boiler 1</t>
  </si>
  <si>
    <t>Bottom back of boiler 2</t>
  </si>
  <si>
    <t>Steam header</t>
  </si>
  <si>
    <t>Next to glycol</t>
  </si>
  <si>
    <t>3 Blind Flange 250/300 1"+5mm (300-449°F)</t>
  </si>
  <si>
    <t>8 Flange 250/300 (300-449°F) 1"+5mm</t>
  </si>
  <si>
    <t>Next to 20</t>
  </si>
  <si>
    <t>2 Blind Flange 250/300 1"+5mm (300-449°F)</t>
  </si>
  <si>
    <t>2 Gate Valve NPT (300-449°F) 15mm</t>
  </si>
  <si>
    <t>Left of 22</t>
  </si>
  <si>
    <t>Bottom front of boiler 1</t>
  </si>
  <si>
    <t>1.5 Control Valve 250/300 1"+5mm (0°-299°F)</t>
  </si>
  <si>
    <t>Top front of boiler 1</t>
  </si>
  <si>
    <t>Bottom front of boiler 2</t>
  </si>
  <si>
    <t>Top front of boiler 2</t>
  </si>
  <si>
    <t>Piping for front of boiler 1 &amp; 2</t>
  </si>
  <si>
    <t>1.5" Hard Pipe Insulation x1' 1.5"</t>
  </si>
  <si>
    <t>1" Hard Pipe Insulation x1' 1 1/2"</t>
  </si>
  <si>
    <t>Cross over Room</t>
  </si>
  <si>
    <t>Back left</t>
  </si>
  <si>
    <t>10 Gate Valve 250/300 (300-449°F) 1"+5mm</t>
  </si>
  <si>
    <t>2.5 Gate Valve 250/300 (300-449°F) 1"+5mm</t>
  </si>
  <si>
    <t>Against back walll</t>
  </si>
  <si>
    <t>2 Wye Strainer NPT (300-449°F) 15mm</t>
  </si>
  <si>
    <t>1.25 PRV NPT (300-425°) - 1.5"</t>
  </si>
  <si>
    <t>Top front</t>
  </si>
  <si>
    <t>6 Gate Valve 250/300 (300-449°F) 1"+5mm</t>
  </si>
  <si>
    <t>Front right</t>
  </si>
  <si>
    <t xml:space="preserve"> Sample job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</si>
</sst>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.0%"/>
    <numFmt numFmtId="168" formatCode="&quot;$&quot;#,##0"/>
    <numFmt numFmtId="169" formatCode="0.000000"/>
    <numFmt numFmtId="170" formatCode="0.0000"/>
  </numFmts>
  <fonts count="4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>
      <alignment vertical="top"/>
    </xf>
    <xf numFmtId="0" fontId="2" fillId="0" borderId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/>
    <xf numFmtId="8" fontId="3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0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0" fillId="0" borderId="0" xfId="0" applyBorder="1" applyAlignme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17" fillId="0" borderId="19" xfId="0" applyFont="1" applyFill="1" applyBorder="1" applyAlignment="1"/>
    <xf numFmtId="164" fontId="0" fillId="35" borderId="27" xfId="0" applyNumberFormat="1" applyFont="1" applyFill="1" applyBorder="1" applyAlignment="1">
      <alignment horizontal="center"/>
    </xf>
    <xf numFmtId="2" fontId="17" fillId="36" borderId="14" xfId="0" applyNumberFormat="1" applyFont="1" applyFill="1" applyBorder="1" applyAlignment="1">
      <alignment horizontal="center" wrapText="1"/>
    </xf>
    <xf numFmtId="164" fontId="0" fillId="35" borderId="14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28" fillId="0" borderId="0" xfId="0" applyFont="1" applyFill="1" applyBorder="1" applyAlignment="1"/>
    <xf numFmtId="0" fontId="17" fillId="0" borderId="0" xfId="0" applyFont="1"/>
    <xf numFmtId="0" fontId="0" fillId="0" borderId="0" xfId="0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Font="1"/>
    <xf numFmtId="0" fontId="0" fillId="37" borderId="14" xfId="0" applyFill="1" applyBorder="1"/>
    <xf numFmtId="2" fontId="0" fillId="38" borderId="14" xfId="0" applyNumberFormat="1" applyFill="1" applyBorder="1"/>
    <xf numFmtId="165" fontId="0" fillId="38" borderId="14" xfId="0" applyNumberFormat="1" applyFill="1" applyBorder="1"/>
    <xf numFmtId="2" fontId="0" fillId="0" borderId="0" xfId="0" applyNumberFormat="1" applyFont="1"/>
    <xf numFmtId="165" fontId="0" fillId="0" borderId="0" xfId="0" applyNumberFormat="1"/>
    <xf numFmtId="43" fontId="0" fillId="0" borderId="0" xfId="129" applyFont="1"/>
    <xf numFmtId="43" fontId="0" fillId="0" borderId="12" xfId="129" applyFont="1" applyBorder="1" applyAlignment="1">
      <alignment horizontal="center" vertical="center"/>
    </xf>
    <xf numFmtId="44" fontId="0" fillId="0" borderId="0" xfId="47" applyFont="1"/>
    <xf numFmtId="164" fontId="0" fillId="36" borderId="14" xfId="0" applyNumberFormat="1" applyFill="1" applyBorder="1" applyAlignment="1">
      <alignment horizontal="center"/>
    </xf>
    <xf numFmtId="9" fontId="0" fillId="36" borderId="14" xfId="48" applyFont="1" applyFill="1" applyBorder="1" applyAlignment="1">
      <alignment horizontal="center"/>
    </xf>
    <xf numFmtId="164" fontId="0" fillId="36" borderId="27" xfId="0" applyNumberFormat="1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2" fontId="30" fillId="35" borderId="14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3" fillId="0" borderId="0" xfId="176" applyFont="1"/>
    <xf numFmtId="166" fontId="33" fillId="0" borderId="0" xfId="176" applyNumberFormat="1" applyFont="1"/>
    <xf numFmtId="165" fontId="33" fillId="0" borderId="0" xfId="176" applyNumberFormat="1" applyFont="1"/>
    <xf numFmtId="1" fontId="33" fillId="0" borderId="0" xfId="176" applyNumberFormat="1" applyFont="1"/>
    <xf numFmtId="0" fontId="33" fillId="0" borderId="0" xfId="176" applyFont="1" applyAlignment="1">
      <alignment horizontal="center"/>
    </xf>
    <xf numFmtId="0" fontId="33" fillId="0" borderId="24" xfId="176" applyFont="1" applyBorder="1"/>
    <xf numFmtId="0" fontId="33" fillId="0" borderId="15" xfId="176" applyFont="1" applyBorder="1"/>
    <xf numFmtId="166" fontId="33" fillId="0" borderId="15" xfId="176" applyNumberFormat="1" applyFont="1" applyBorder="1"/>
    <xf numFmtId="165" fontId="33" fillId="0" borderId="15" xfId="176" applyNumberFormat="1" applyFont="1" applyBorder="1"/>
    <xf numFmtId="1" fontId="33" fillId="0" borderId="15" xfId="176" applyNumberFormat="1" applyFont="1" applyBorder="1"/>
    <xf numFmtId="1" fontId="33" fillId="0" borderId="25" xfId="176" applyNumberFormat="1" applyFont="1" applyBorder="1"/>
    <xf numFmtId="0" fontId="33" fillId="0" borderId="20" xfId="176" applyFont="1" applyBorder="1"/>
    <xf numFmtId="0" fontId="33" fillId="0" borderId="0" xfId="176" applyFont="1" applyBorder="1"/>
    <xf numFmtId="166" fontId="33" fillId="0" borderId="0" xfId="176" applyNumberFormat="1" applyFont="1" applyBorder="1"/>
    <xf numFmtId="165" fontId="33" fillId="0" borderId="0" xfId="176" applyNumberFormat="1" applyFont="1" applyBorder="1"/>
    <xf numFmtId="1" fontId="33" fillId="0" borderId="0" xfId="176" applyNumberFormat="1" applyFont="1" applyBorder="1"/>
    <xf numFmtId="1" fontId="33" fillId="0" borderId="21" xfId="176" applyNumberFormat="1" applyFont="1" applyBorder="1"/>
    <xf numFmtId="0" fontId="34" fillId="0" borderId="0" xfId="176" applyFont="1" applyBorder="1"/>
    <xf numFmtId="3" fontId="33" fillId="39" borderId="30" xfId="176" applyNumberFormat="1" applyFont="1" applyFill="1" applyBorder="1"/>
    <xf numFmtId="167" fontId="33" fillId="39" borderId="30" xfId="176" applyNumberFormat="1" applyFont="1" applyFill="1" applyBorder="1"/>
    <xf numFmtId="0" fontId="33" fillId="0" borderId="0" xfId="176" applyFont="1" applyBorder="1" applyAlignment="1">
      <alignment horizontal="left"/>
    </xf>
    <xf numFmtId="8" fontId="33" fillId="39" borderId="31" xfId="177" applyNumberFormat="1" applyFont="1" applyFill="1" applyBorder="1" applyAlignment="1"/>
    <xf numFmtId="164" fontId="33" fillId="0" borderId="0" xfId="176" applyNumberFormat="1" applyFont="1" applyBorder="1" applyAlignment="1">
      <alignment horizontal="center"/>
    </xf>
    <xf numFmtId="0" fontId="33" fillId="0" borderId="20" xfId="176" applyFont="1" applyBorder="1" applyAlignment="1">
      <alignment horizontal="center"/>
    </xf>
    <xf numFmtId="0" fontId="33" fillId="0" borderId="0" xfId="176" applyFont="1" applyBorder="1" applyAlignment="1">
      <alignment horizontal="center"/>
    </xf>
    <xf numFmtId="166" fontId="33" fillId="0" borderId="0" xfId="176" applyNumberFormat="1" applyFont="1" applyBorder="1" applyAlignment="1">
      <alignment horizontal="center"/>
    </xf>
    <xf numFmtId="165" fontId="33" fillId="0" borderId="0" xfId="176" applyNumberFormat="1" applyFont="1" applyBorder="1" applyAlignment="1">
      <alignment horizontal="center"/>
    </xf>
    <xf numFmtId="0" fontId="33" fillId="0" borderId="0" xfId="176" applyFont="1" applyBorder="1" applyAlignment="1">
      <alignment horizontal="right"/>
    </xf>
    <xf numFmtId="1" fontId="33" fillId="0" borderId="0" xfId="176" applyNumberFormat="1" applyFont="1" applyBorder="1" applyAlignment="1">
      <alignment horizontal="right"/>
    </xf>
    <xf numFmtId="1" fontId="33" fillId="0" borderId="21" xfId="176" applyNumberFormat="1" applyFont="1" applyBorder="1" applyAlignment="1">
      <alignment horizontal="center"/>
    </xf>
    <xf numFmtId="167" fontId="33" fillId="39" borderId="0" xfId="176" applyNumberFormat="1" applyFont="1" applyFill="1" applyBorder="1" applyAlignment="1">
      <alignment horizontal="center"/>
    </xf>
    <xf numFmtId="167" fontId="33" fillId="0" borderId="0" xfId="176" applyNumberFormat="1" applyFont="1" applyBorder="1" applyAlignment="1">
      <alignment horizontal="center"/>
    </xf>
    <xf numFmtId="9" fontId="33" fillId="0" borderId="0" xfId="176" applyNumberFormat="1" applyFont="1" applyBorder="1" applyAlignment="1">
      <alignment horizontal="center"/>
    </xf>
    <xf numFmtId="0" fontId="33" fillId="0" borderId="13" xfId="176" applyFont="1" applyBorder="1" applyAlignment="1">
      <alignment horizontal="center"/>
    </xf>
    <xf numFmtId="166" fontId="33" fillId="0" borderId="13" xfId="176" applyNumberFormat="1" applyFont="1" applyBorder="1" applyAlignment="1">
      <alignment horizontal="center"/>
    </xf>
    <xf numFmtId="165" fontId="33" fillId="0" borderId="13" xfId="176" applyNumberFormat="1" applyFont="1" applyBorder="1" applyAlignment="1">
      <alignment horizontal="center"/>
    </xf>
    <xf numFmtId="0" fontId="33" fillId="0" borderId="13" xfId="176" applyFont="1" applyBorder="1" applyAlignment="1">
      <alignment horizontal="right"/>
    </xf>
    <xf numFmtId="1" fontId="33" fillId="0" borderId="13" xfId="176" applyNumberFormat="1" applyFont="1" applyBorder="1" applyAlignment="1">
      <alignment horizontal="right"/>
    </xf>
    <xf numFmtId="0" fontId="33" fillId="0" borderId="14" xfId="176" applyFont="1" applyBorder="1" applyAlignment="1">
      <alignment horizontal="center"/>
    </xf>
    <xf numFmtId="166" fontId="33" fillId="0" borderId="14" xfId="176" applyNumberFormat="1" applyFont="1" applyBorder="1" applyAlignment="1">
      <alignment horizontal="center"/>
    </xf>
    <xf numFmtId="0" fontId="33" fillId="39" borderId="14" xfId="176" applyFont="1" applyFill="1" applyBorder="1" applyAlignment="1">
      <alignment horizontal="center"/>
    </xf>
    <xf numFmtId="165" fontId="33" fillId="0" borderId="14" xfId="176" applyNumberFormat="1" applyFont="1" applyBorder="1" applyAlignment="1">
      <alignment horizontal="center"/>
    </xf>
    <xf numFmtId="165" fontId="33" fillId="0" borderId="14" xfId="176" applyNumberFormat="1" applyFont="1" applyBorder="1" applyAlignment="1">
      <alignment horizontal="right"/>
    </xf>
    <xf numFmtId="3" fontId="33" fillId="0" borderId="14" xfId="176" applyNumberFormat="1" applyFont="1" applyBorder="1" applyAlignment="1">
      <alignment horizontal="right"/>
    </xf>
    <xf numFmtId="165" fontId="33" fillId="0" borderId="0" xfId="176" applyNumberFormat="1" applyFont="1" applyBorder="1" applyAlignment="1">
      <alignment horizontal="right"/>
    </xf>
    <xf numFmtId="3" fontId="33" fillId="0" borderId="0" xfId="176" applyNumberFormat="1" applyFont="1" applyBorder="1" applyAlignment="1">
      <alignment horizontal="right"/>
    </xf>
    <xf numFmtId="0" fontId="34" fillId="0" borderId="0" xfId="176" applyFont="1" applyFill="1" applyBorder="1" applyAlignment="1">
      <alignment horizontal="center"/>
    </xf>
    <xf numFmtId="166" fontId="34" fillId="0" borderId="0" xfId="176" applyNumberFormat="1" applyFont="1" applyBorder="1"/>
    <xf numFmtId="0" fontId="34" fillId="0" borderId="0" xfId="176" applyFont="1" applyBorder="1" applyAlignment="1">
      <alignment horizontal="center"/>
    </xf>
    <xf numFmtId="165" fontId="34" fillId="0" borderId="0" xfId="176" applyNumberFormat="1" applyFont="1" applyBorder="1" applyAlignment="1">
      <alignment horizontal="center"/>
    </xf>
    <xf numFmtId="3" fontId="34" fillId="0" borderId="0" xfId="176" applyNumberFormat="1" applyFont="1" applyBorder="1" applyAlignment="1">
      <alignment horizontal="right"/>
    </xf>
    <xf numFmtId="168" fontId="34" fillId="0" borderId="0" xfId="176" applyNumberFormat="1" applyFont="1" applyBorder="1" applyAlignment="1">
      <alignment horizontal="right"/>
    </xf>
    <xf numFmtId="167" fontId="33" fillId="0" borderId="0" xfId="176" applyNumberFormat="1" applyFont="1" applyBorder="1"/>
    <xf numFmtId="0" fontId="34" fillId="0" borderId="0" xfId="176" applyFont="1" applyBorder="1" applyAlignment="1">
      <alignment horizontal="right"/>
    </xf>
    <xf numFmtId="3" fontId="34" fillId="0" borderId="0" xfId="176" applyNumberFormat="1" applyFont="1" applyBorder="1"/>
    <xf numFmtId="167" fontId="34" fillId="0" borderId="0" xfId="176" applyNumberFormat="1" applyFont="1" applyBorder="1"/>
    <xf numFmtId="0" fontId="35" fillId="0" borderId="0" xfId="176" applyFont="1" applyBorder="1"/>
    <xf numFmtId="0" fontId="36" fillId="0" borderId="0" xfId="176" applyNumberFormat="1" applyFont="1" applyBorder="1"/>
    <xf numFmtId="0" fontId="36" fillId="0" borderId="0" xfId="176" applyFont="1" applyBorder="1"/>
    <xf numFmtId="1" fontId="34" fillId="0" borderId="0" xfId="176" applyNumberFormat="1" applyFont="1"/>
    <xf numFmtId="0" fontId="33" fillId="0" borderId="22" xfId="176" applyFont="1" applyBorder="1"/>
    <xf numFmtId="0" fontId="33" fillId="0" borderId="13" xfId="176" applyFont="1" applyBorder="1"/>
    <xf numFmtId="166" fontId="33" fillId="0" borderId="13" xfId="176" applyNumberFormat="1" applyFont="1" applyBorder="1"/>
    <xf numFmtId="165" fontId="33" fillId="0" borderId="13" xfId="176" applyNumberFormat="1" applyFont="1" applyBorder="1"/>
    <xf numFmtId="1" fontId="33" fillId="0" borderId="13" xfId="176" applyNumberFormat="1" applyFont="1" applyBorder="1"/>
    <xf numFmtId="1" fontId="33" fillId="0" borderId="23" xfId="176" applyNumberFormat="1" applyFont="1" applyBorder="1"/>
    <xf numFmtId="0" fontId="37" fillId="0" borderId="0" xfId="176" applyFont="1" applyBorder="1" applyAlignment="1">
      <alignment horizontal="left" wrapText="1"/>
    </xf>
    <xf numFmtId="2" fontId="33" fillId="0" borderId="0" xfId="176" applyNumberFormat="1" applyFont="1"/>
    <xf numFmtId="169" fontId="33" fillId="0" borderId="0" xfId="176" applyNumberFormat="1" applyFont="1"/>
    <xf numFmtId="170" fontId="33" fillId="0" borderId="0" xfId="176" applyNumberFormat="1" applyFont="1"/>
    <xf numFmtId="0" fontId="34" fillId="39" borderId="0" xfId="176" applyFont="1" applyFill="1"/>
    <xf numFmtId="165" fontId="34" fillId="39" borderId="0" xfId="176" applyNumberFormat="1" applyFont="1" applyFill="1"/>
    <xf numFmtId="0" fontId="34" fillId="39" borderId="0" xfId="176" applyFont="1" applyFill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44" fontId="0" fillId="0" borderId="0" xfId="47" applyFont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0" xfId="0" applyBorder="1"/>
    <xf numFmtId="44" fontId="0" fillId="0" borderId="12" xfId="0" applyNumberFormat="1" applyBorder="1"/>
    <xf numFmtId="0" fontId="0" fillId="0" borderId="18" xfId="0" applyBorder="1" applyAlignment="1">
      <alignment horizontal="center"/>
    </xf>
    <xf numFmtId="2" fontId="38" fillId="0" borderId="0" xfId="0" applyNumberFormat="1" applyFont="1"/>
    <xf numFmtId="0" fontId="39" fillId="0" borderId="0" xfId="0" applyFont="1"/>
    <xf numFmtId="44" fontId="0" fillId="0" borderId="0" xfId="47" applyFont="1" applyFill="1"/>
    <xf numFmtId="0" fontId="0" fillId="0" borderId="28" xfId="0" applyBorder="1"/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/>
    <xf numFmtId="44" fontId="0" fillId="0" borderId="0" xfId="47" applyFont="1"/>
    <xf numFmtId="0" fontId="28" fillId="33" borderId="20" xfId="0" applyFont="1" applyFill="1" applyBorder="1" applyAlignment="1"/>
    <xf numFmtId="43" fontId="28" fillId="33" borderId="0" xfId="129" applyFont="1" applyFill="1" applyBorder="1" applyAlignment="1">
      <alignment horizontal="center"/>
    </xf>
    <xf numFmtId="164" fontId="28" fillId="33" borderId="0" xfId="129" applyNumberFormat="1" applyFont="1" applyFill="1" applyBorder="1" applyAlignment="1">
      <alignment horizontal="center"/>
    </xf>
    <xf numFmtId="0" fontId="28" fillId="33" borderId="32" xfId="0" applyFont="1" applyFill="1" applyBorder="1" applyAlignment="1"/>
    <xf numFmtId="43" fontId="28" fillId="33" borderId="33" xfId="129" applyFont="1" applyFill="1" applyBorder="1" applyAlignment="1">
      <alignment horizontal="center"/>
    </xf>
    <xf numFmtId="164" fontId="28" fillId="33" borderId="33" xfId="129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164" fontId="39" fillId="0" borderId="0" xfId="47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2" fontId="39" fillId="0" borderId="0" xfId="47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2" fontId="39" fillId="0" borderId="0" xfId="0" applyNumberFormat="1" applyFont="1" applyAlignment="1">
      <alignment horizontal="left" wrapText="1"/>
    </xf>
    <xf numFmtId="14" fontId="39" fillId="0" borderId="0" xfId="47" applyNumberFormat="1" applyFont="1" applyAlignment="1">
      <alignment horizontal="left"/>
    </xf>
    <xf numFmtId="0" fontId="28" fillId="33" borderId="15" xfId="0" applyFont="1" applyFill="1" applyBorder="1" applyAlignment="1">
      <alignment horizontal="center"/>
    </xf>
    <xf numFmtId="44" fontId="19" fillId="36" borderId="23" xfId="47" applyFont="1" applyFill="1" applyBorder="1" applyAlignment="1">
      <alignment horizontal="center"/>
    </xf>
    <xf numFmtId="164" fontId="0" fillId="0" borderId="0" xfId="0" applyNumberFormat="1" applyAlignment="1"/>
    <xf numFmtId="0" fontId="39" fillId="0" borderId="0" xfId="47" applyNumberFormat="1" applyFont="1" applyAlignment="1">
      <alignment horizontal="left"/>
    </xf>
    <xf numFmtId="1" fontId="39" fillId="0" borderId="0" xfId="47" applyNumberFormat="1" applyFont="1" applyAlignment="1">
      <alignment horizontal="left"/>
    </xf>
    <xf numFmtId="8" fontId="33" fillId="0" borderId="29" xfId="177" applyNumberFormat="1" applyFont="1" applyFill="1" applyBorder="1" applyAlignment="1">
      <alignment horizontal="right"/>
    </xf>
    <xf numFmtId="2" fontId="43" fillId="0" borderId="35" xfId="0" applyNumberFormat="1" applyFont="1" applyBorder="1"/>
    <xf numFmtId="3" fontId="33" fillId="34" borderId="30" xfId="176" applyNumberFormat="1" applyFont="1" applyFill="1" applyBorder="1"/>
    <xf numFmtId="2" fontId="39" fillId="0" borderId="0" xfId="0" quotePrefix="1" applyNumberFormat="1" applyFont="1"/>
    <xf numFmtId="2" fontId="43" fillId="0" borderId="0" xfId="0" applyNumberFormat="1" applyFont="1"/>
    <xf numFmtId="2" fontId="34" fillId="39" borderId="0" xfId="176" applyNumberFormat="1" applyFont="1" applyFill="1"/>
    <xf numFmtId="164" fontId="44" fillId="0" borderId="0" xfId="47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1" fontId="45" fillId="0" borderId="14" xfId="458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7" fillId="0" borderId="0" xfId="0" applyFont="1" applyFill="1" applyBorder="1" applyAlignment="1"/>
    <xf numFmtId="1" fontId="0" fillId="0" borderId="14" xfId="0" applyNumberFormat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9" fillId="36" borderId="20" xfId="0" applyFont="1" applyFill="1" applyBorder="1" applyAlignment="1"/>
    <xf numFmtId="0" fontId="19" fillId="36" borderId="21" xfId="0" applyFont="1" applyFill="1" applyBorder="1" applyAlignment="1"/>
    <xf numFmtId="44" fontId="19" fillId="36" borderId="0" xfId="47" applyFont="1" applyFill="1" applyBorder="1" applyAlignment="1"/>
    <xf numFmtId="9" fontId="0" fillId="0" borderId="0" xfId="48" applyFont="1"/>
    <xf numFmtId="0" fontId="19" fillId="36" borderId="0" xfId="47" applyNumberFormat="1" applyFont="1" applyFill="1" applyBorder="1" applyAlignment="1"/>
    <xf numFmtId="0" fontId="28" fillId="33" borderId="15" xfId="0" applyFont="1" applyFill="1" applyBorder="1" applyAlignment="1"/>
    <xf numFmtId="44" fontId="28" fillId="33" borderId="0" xfId="47" applyFont="1" applyFill="1" applyBorder="1" applyAlignment="1"/>
    <xf numFmtId="164" fontId="39" fillId="33" borderId="33" xfId="0" applyNumberFormat="1" applyFont="1" applyFill="1" applyBorder="1"/>
    <xf numFmtId="2" fontId="28" fillId="33" borderId="13" xfId="47" applyNumberFormat="1" applyFont="1" applyFill="1" applyBorder="1" applyAlignment="1">
      <alignment horizontal="left"/>
    </xf>
    <xf numFmtId="43" fontId="19" fillId="36" borderId="15" xfId="129" applyFont="1" applyFill="1" applyBorder="1" applyAlignment="1">
      <alignment horizontal="center"/>
    </xf>
    <xf numFmtId="0" fontId="19" fillId="36" borderId="25" xfId="0" applyFont="1" applyFill="1" applyBorder="1" applyAlignment="1"/>
    <xf numFmtId="0" fontId="19" fillId="36" borderId="25" xfId="0" applyFont="1" applyFill="1" applyBorder="1" applyAlignment="1">
      <alignment horizontal="center"/>
    </xf>
    <xf numFmtId="43" fontId="19" fillId="36" borderId="13" xfId="129" applyFont="1" applyFill="1" applyBorder="1" applyAlignment="1">
      <alignment horizontal="center"/>
    </xf>
    <xf numFmtId="2" fontId="19" fillId="36" borderId="22" xfId="0" applyNumberFormat="1" applyFont="1" applyFill="1" applyBorder="1" applyAlignment="1">
      <alignment horizontal="center"/>
    </xf>
    <xf numFmtId="43" fontId="19" fillId="36" borderId="23" xfId="0" applyNumberFormat="1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9" fontId="19" fillId="36" borderId="21" xfId="48" applyFont="1" applyFill="1" applyBorder="1" applyAlignment="1">
      <alignment horizontal="left"/>
    </xf>
    <xf numFmtId="0" fontId="22" fillId="0" borderId="0" xfId="0" applyFont="1" applyBorder="1" applyAlignment="1"/>
    <xf numFmtId="0" fontId="19" fillId="33" borderId="10" xfId="0" applyFont="1" applyFill="1" applyBorder="1" applyAlignment="1"/>
    <xf numFmtId="0" fontId="19" fillId="33" borderId="11" xfId="0" applyFont="1" applyFill="1" applyBorder="1" applyAlignment="1"/>
    <xf numFmtId="0" fontId="19" fillId="33" borderId="12" xfId="0" applyFont="1" applyFill="1" applyBorder="1" applyAlignment="1"/>
    <xf numFmtId="164" fontId="19" fillId="33" borderId="36" xfId="0" applyNumberFormat="1" applyFont="1" applyFill="1" applyBorder="1" applyAlignment="1"/>
    <xf numFmtId="164" fontId="19" fillId="33" borderId="37" xfId="0" applyNumberFormat="1" applyFont="1" applyFill="1" applyBorder="1" applyAlignment="1"/>
    <xf numFmtId="2" fontId="19" fillId="33" borderId="26" xfId="0" applyNumberFormat="1" applyFont="1" applyFill="1" applyBorder="1" applyAlignment="1"/>
    <xf numFmtId="2" fontId="39" fillId="0" borderId="0" xfId="0" applyNumberFormat="1" applyFont="1" applyAlignment="1">
      <alignment horizontal="left"/>
    </xf>
    <xf numFmtId="164" fontId="27" fillId="0" borderId="15" xfId="0" applyNumberFormat="1" applyFont="1" applyBorder="1" applyAlignment="1">
      <alignment horizontal="center"/>
    </xf>
    <xf numFmtId="0" fontId="28" fillId="33" borderId="24" xfId="0" applyFont="1" applyFill="1" applyBorder="1" applyAlignment="1">
      <alignment horizontal="right"/>
    </xf>
    <xf numFmtId="0" fontId="28" fillId="33" borderId="15" xfId="0" applyFont="1" applyFill="1" applyBorder="1" applyAlignment="1">
      <alignment horizontal="right"/>
    </xf>
    <xf numFmtId="0" fontId="19" fillId="33" borderId="2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9" fillId="33" borderId="21" xfId="0" applyFont="1" applyFill="1" applyBorder="1" applyAlignment="1">
      <alignment horizontal="right"/>
    </xf>
    <xf numFmtId="0" fontId="19" fillId="36" borderId="22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right"/>
    </xf>
    <xf numFmtId="0" fontId="19" fillId="33" borderId="22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right"/>
    </xf>
    <xf numFmtId="0" fontId="40" fillId="33" borderId="22" xfId="176" applyFont="1" applyFill="1" applyBorder="1" applyAlignment="1">
      <alignment horizontal="center"/>
    </xf>
    <xf numFmtId="0" fontId="40" fillId="33" borderId="13" xfId="176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7" fillId="0" borderId="0" xfId="176" applyFont="1" applyBorder="1" applyAlignment="1">
      <alignment horizontal="left" wrapText="1"/>
    </xf>
    <xf numFmtId="0" fontId="33" fillId="0" borderId="0" xfId="176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0" borderId="0" xfId="0" applyFont="1" applyFill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</cellXfs>
  <cellStyles count="4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29" builtinId="3"/>
    <cellStyle name="Currency" xfId="47" builtinId="4"/>
    <cellStyle name="Currency 2" xfId="45" xr:uid="{00000000-0005-0000-0000-00001D000000}"/>
    <cellStyle name="Currency 3" xfId="177" xr:uid="{00000000-0005-0000-0000-00001E000000}"/>
    <cellStyle name="Explanatory Text" xfId="16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9" builtinId="9" hidden="1"/>
    <cellStyle name="Followed Hyperlink" xfId="180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181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6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182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9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C1010000}"/>
    <cellStyle name="Normal 2 2" xfId="43" xr:uid="{00000000-0005-0000-0000-0000C2010000}"/>
    <cellStyle name="Normal 3" xfId="44" xr:uid="{00000000-0005-0000-0000-0000C3010000}"/>
    <cellStyle name="Normal 4" xfId="176" xr:uid="{00000000-0005-0000-0000-0000C4010000}"/>
    <cellStyle name="Normal 5" xfId="458" xr:uid="{00000000-0005-0000-0000-0000C5010000}"/>
    <cellStyle name="Note" xfId="15" builtinId="10" customBuiltin="1"/>
    <cellStyle name="Output" xfId="10" builtinId="21" customBuiltin="1"/>
    <cellStyle name="Percent" xfId="48" builtinId="5"/>
    <cellStyle name="Percent 2" xfId="46" xr:uid="{00000000-0005-0000-0000-0000C901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123825</xdr:rowOff>
    </xdr:from>
    <xdr:to>
      <xdr:col>12</xdr:col>
      <xdr:colOff>85725</xdr:colOff>
      <xdr:row>5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3875" y="6448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123825</xdr:rowOff>
    </xdr:from>
    <xdr:to>
      <xdr:col>12</xdr:col>
      <xdr:colOff>85725</xdr:colOff>
      <xdr:row>5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3875" y="6448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123825</xdr:rowOff>
    </xdr:from>
    <xdr:to>
      <xdr:col>2</xdr:col>
      <xdr:colOff>85725</xdr:colOff>
      <xdr:row>39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6118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123825</xdr:rowOff>
    </xdr:from>
    <xdr:to>
      <xdr:col>2</xdr:col>
      <xdr:colOff>85725</xdr:colOff>
      <xdr:row>39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6118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620889</xdr:colOff>
      <xdr:row>2</xdr:row>
      <xdr:rowOff>28222</xdr:rowOff>
    </xdr:from>
    <xdr:to>
      <xdr:col>15</xdr:col>
      <xdr:colOff>841587</xdr:colOff>
      <xdr:row>6</xdr:row>
      <xdr:rowOff>26077</xdr:rowOff>
    </xdr:to>
    <xdr:pic>
      <xdr:nvPicPr>
        <xdr:cNvPr id="5" name="Picture 4" descr="Logo Thermaxx Jackets Logo 2010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1111" y="451555"/>
          <a:ext cx="2026920" cy="61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"/>
  <sheetViews>
    <sheetView tabSelected="1" zoomScale="80" zoomScaleNormal="80" zoomScalePageLayoutView="150" workbookViewId="0">
      <selection activeCell="B2" sqref="B2"/>
    </sheetView>
  </sheetViews>
  <sheetFormatPr baseColWidth="10" defaultColWidth="8.6640625" defaultRowHeight="15"/>
  <cols>
    <col min="1" max="1" width="17.5" customWidth="1"/>
    <col min="2" max="2" width="15.83203125" bestFit="1" customWidth="1"/>
    <col min="3" max="3" width="30.5" style="119" bestFit="1" customWidth="1"/>
    <col min="4" max="4" width="25.83203125" style="119" bestFit="1" customWidth="1"/>
    <col min="5" max="5" width="77.1640625" bestFit="1" customWidth="1"/>
    <col min="6" max="6" width="10.5" customWidth="1"/>
    <col min="7" max="7" width="10.5" style="119" customWidth="1"/>
    <col min="8" max="8" width="11.6640625" customWidth="1"/>
    <col min="9" max="10" width="11.5" customWidth="1"/>
    <col min="11" max="11" width="15.6640625" customWidth="1"/>
    <col min="12" max="12" width="10.5" customWidth="1"/>
    <col min="13" max="13" width="15.6640625" style="2" customWidth="1"/>
    <col min="14" max="14" width="19.5" style="1" customWidth="1"/>
    <col min="15" max="15" width="22.33203125" style="1" customWidth="1"/>
    <col min="16" max="16" width="17.5" style="1" customWidth="1"/>
    <col min="17" max="17" width="23.6640625" customWidth="1"/>
    <col min="18" max="18" width="16" customWidth="1"/>
    <col min="19" max="19" width="15.33203125" style="35" customWidth="1"/>
    <col min="20" max="20" width="18" bestFit="1" customWidth="1"/>
    <col min="21" max="21" width="10.33203125" bestFit="1" customWidth="1"/>
    <col min="22" max="22" width="15.6640625" bestFit="1" customWidth="1"/>
    <col min="23" max="23" width="10" bestFit="1" customWidth="1"/>
    <col min="25" max="25" width="9.83203125" bestFit="1" customWidth="1"/>
  </cols>
  <sheetData>
    <row r="1" spans="1:26" ht="66" customHeight="1" thickBot="1">
      <c r="A1" s="187" t="s">
        <v>51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26" ht="25" thickBot="1">
      <c r="A2" s="9" t="s">
        <v>17</v>
      </c>
      <c r="B2" s="164" t="s">
        <v>228</v>
      </c>
      <c r="C2" s="164"/>
      <c r="D2" s="164"/>
      <c r="E2" s="6"/>
      <c r="F2" s="188" t="s">
        <v>8</v>
      </c>
      <c r="G2" s="189"/>
      <c r="H2" s="189"/>
      <c r="I2" s="189"/>
      <c r="J2" s="189"/>
      <c r="K2" s="190"/>
      <c r="M2" s="196" t="s">
        <v>49</v>
      </c>
      <c r="N2" s="197"/>
      <c r="O2" s="152" t="s">
        <v>50</v>
      </c>
      <c r="P2" s="175"/>
      <c r="Q2" s="169" t="s">
        <v>157</v>
      </c>
      <c r="R2" s="179" t="s">
        <v>158</v>
      </c>
      <c r="S2" s="181" t="s">
        <v>159</v>
      </c>
      <c r="T2" s="180"/>
    </row>
    <row r="3" spans="1:26" ht="25" thickBot="1">
      <c r="A3" s="14" t="s">
        <v>18</v>
      </c>
      <c r="B3" s="117">
        <v>14346</v>
      </c>
      <c r="C3" s="164"/>
      <c r="D3" s="164"/>
      <c r="E3" s="6"/>
      <c r="F3" s="198" t="s">
        <v>9</v>
      </c>
      <c r="G3" s="199"/>
      <c r="H3" s="199"/>
      <c r="I3" s="199"/>
      <c r="J3" s="200"/>
      <c r="K3" s="191">
        <f>S51</f>
        <v>16312.852447680012</v>
      </c>
      <c r="M3" s="137" t="s">
        <v>48</v>
      </c>
      <c r="N3" s="138">
        <f>SUM(W9:W50)</f>
        <v>20391.065559599989</v>
      </c>
      <c r="O3" s="139">
        <f>Q51</f>
        <v>29469.576567164164</v>
      </c>
      <c r="P3" s="176"/>
      <c r="Q3" s="183">
        <f>W51</f>
        <v>20391.065559599989</v>
      </c>
      <c r="R3" s="182">
        <f>Q3/1.031</f>
        <v>19777.949136372445</v>
      </c>
      <c r="S3" s="184">
        <f>R3/10</f>
        <v>1977.7949136372445</v>
      </c>
      <c r="T3" s="171" t="s">
        <v>156</v>
      </c>
    </row>
    <row r="4" spans="1:26" ht="24">
      <c r="A4" s="9" t="s">
        <v>16</v>
      </c>
      <c r="B4" s="15">
        <f ca="1">TODAY()</f>
        <v>43446</v>
      </c>
      <c r="C4" s="15"/>
      <c r="D4" s="15"/>
      <c r="E4" s="14"/>
      <c r="F4" s="198" t="s">
        <v>11</v>
      </c>
      <c r="G4" s="199"/>
      <c r="H4" s="199"/>
      <c r="I4" s="199"/>
      <c r="J4" s="200"/>
      <c r="K4" s="192">
        <f>Q51</f>
        <v>29469.576567164164</v>
      </c>
      <c r="M4" s="140"/>
      <c r="N4" s="141"/>
      <c r="O4" s="142"/>
      <c r="P4" s="177"/>
      <c r="Q4" s="170" t="s">
        <v>153</v>
      </c>
      <c r="R4" s="172">
        <f>IF($Q$4=Incentives!A1,Incentives!B1,IF($Q$4=Incentives!A2,Incentives!B2,IF($Q$4=Incentives!A3,Incentives!B3,IF($Q$4=Incentives!A4,Incentives!B4,IF(Q4=Incentives!A5,Incentives!B5,IF($Q$4=Incentives!A6,Incentives!B6,IF($Q$4=Incentives!A7,Incentives!B7,IF($Q$4=Incentives!A8,Incentives!B8,0))))))))</f>
        <v>1.5</v>
      </c>
      <c r="S4" s="174" t="str">
        <f>IF($Q$4=Incentives!A1,Incentives!C1,IF($Q$4=Incentives!A2,Incentives!C2,IF($Q$4=Incentives!A3,Incentives!C3,IF($Q$4=Incentives!A4,Incentives!C4,IF(Q4=Incentives!A5,Incentives!C5,IF($Q$4=Incentives!A6,Incentives!C6,IF($Q$4=Incentives!A7,Incentives!C7,IF($Q$4=Incentives!A8,Incentives!C8,0))))))))</f>
        <v>Per Therm</v>
      </c>
      <c r="T4" s="186">
        <f>IF($Q$4=Incentives!A1,Incentives!D1,IF(Q4=Incentives!A2,Incentives!D2,IF(Q4=Incentives!A3,Incentives!D3,IF(Q4=Incentives!A4,Incentives!D4,IF(Q4=Incentives!A5,Incentives!D5,IF(Q4=Incentives!A6,Incentives!D6,IF(Q4=Incentives!A7,Incentives!D7,IF(Q4=Incentives!A8,Incentives!D8,0))))))))</f>
        <v>0.5</v>
      </c>
    </row>
    <row r="5" spans="1:26" s="119" customFormat="1" ht="25" thickBot="1">
      <c r="A5" s="12" t="s">
        <v>134</v>
      </c>
      <c r="B5" s="13">
        <v>8</v>
      </c>
      <c r="C5" s="15"/>
      <c r="D5" s="15"/>
      <c r="E5" s="164"/>
      <c r="F5" s="198" t="s">
        <v>167</v>
      </c>
      <c r="G5" s="199"/>
      <c r="H5" s="199"/>
      <c r="I5" s="199"/>
      <c r="J5" s="200"/>
      <c r="K5" s="192">
        <f>T5</f>
        <v>14734.788283582082</v>
      </c>
      <c r="M5" s="207" t="s">
        <v>142</v>
      </c>
      <c r="N5" s="208"/>
      <c r="O5" s="208"/>
      <c r="P5" s="178">
        <f>((N3+N4)/(10))*118/2205</f>
        <v>109.12225560239449</v>
      </c>
      <c r="Q5" s="201" t="s">
        <v>144</v>
      </c>
      <c r="R5" s="202"/>
      <c r="S5" s="202"/>
      <c r="T5" s="153">
        <f>IF(Q4=Incentives!A1,Incentives!F1,IF(Q4=Incentives!A2,Incentives!F2,IF(Q4=Incentives!A3,Incentives!F3,IF(Q4=Incentives!A4,Incentives!F4,IF(Q4=Incentives!A6,Incentives!F6,IF(Q4=Incentives!A7,Incentives!F7,IF(Q4=Incentives!A8,Incentives!F8,0)))))))</f>
        <v>14734.788283582082</v>
      </c>
    </row>
    <row r="6" spans="1:26" ht="25" thickBot="1">
      <c r="C6" s="11"/>
      <c r="D6" s="11"/>
      <c r="E6" s="11"/>
      <c r="F6" s="204" t="s">
        <v>146</v>
      </c>
      <c r="G6" s="205"/>
      <c r="H6" s="205"/>
      <c r="I6" s="205"/>
      <c r="J6" s="206"/>
      <c r="K6" s="193">
        <f>((K4-K5)/K3)*12</f>
        <v>10.839150293922488</v>
      </c>
      <c r="L6" s="23"/>
      <c r="M6" s="44" t="s">
        <v>97</v>
      </c>
    </row>
    <row r="7" spans="1:26" ht="21">
      <c r="C7" s="13"/>
      <c r="D7" s="13"/>
      <c r="E7" s="203"/>
      <c r="F7" s="203"/>
      <c r="G7" s="203"/>
      <c r="H7" s="203"/>
      <c r="I7" s="203"/>
      <c r="J7" s="203"/>
      <c r="K7" s="195"/>
      <c r="L7" s="10"/>
      <c r="N7" s="5"/>
      <c r="O7" s="5"/>
      <c r="P7" s="5"/>
    </row>
    <row r="8" spans="1:26" ht="45">
      <c r="A8" s="7" t="s">
        <v>3</v>
      </c>
      <c r="B8" s="7" t="s">
        <v>139</v>
      </c>
      <c r="C8" s="7" t="s">
        <v>145</v>
      </c>
      <c r="D8" s="7" t="s">
        <v>171</v>
      </c>
      <c r="E8" s="7" t="s">
        <v>0</v>
      </c>
      <c r="F8" s="8" t="s">
        <v>12</v>
      </c>
      <c r="G8" s="8" t="s">
        <v>172</v>
      </c>
      <c r="H8" s="8" t="s">
        <v>14</v>
      </c>
      <c r="I8" s="8" t="s">
        <v>13</v>
      </c>
      <c r="J8" s="8" t="s">
        <v>4</v>
      </c>
      <c r="K8" s="8" t="s">
        <v>5</v>
      </c>
      <c r="L8" s="8" t="s">
        <v>6</v>
      </c>
      <c r="M8" s="8" t="s">
        <v>1</v>
      </c>
      <c r="N8" s="8" t="s">
        <v>2</v>
      </c>
      <c r="O8" s="8" t="s">
        <v>15</v>
      </c>
      <c r="P8" s="40" t="s">
        <v>19</v>
      </c>
      <c r="Q8" s="42" t="s">
        <v>166</v>
      </c>
      <c r="R8" s="20" t="s">
        <v>10</v>
      </c>
      <c r="S8" s="20" t="s">
        <v>7</v>
      </c>
      <c r="T8" s="20" t="s">
        <v>23</v>
      </c>
      <c r="U8" s="20" t="s">
        <v>22</v>
      </c>
      <c r="V8" s="20" t="s">
        <v>21</v>
      </c>
      <c r="W8" s="20" t="s">
        <v>20</v>
      </c>
    </row>
    <row r="9" spans="1:26" s="17" customFormat="1">
      <c r="A9" s="133">
        <v>32</v>
      </c>
      <c r="B9" s="133" t="s">
        <v>173</v>
      </c>
      <c r="C9" s="133" t="s">
        <v>215</v>
      </c>
      <c r="D9" s="133" t="s">
        <v>175</v>
      </c>
      <c r="E9" s="133" t="s">
        <v>217</v>
      </c>
      <c r="F9" s="166">
        <v>1</v>
      </c>
      <c r="G9" s="166">
        <v>33</v>
      </c>
      <c r="H9" s="165">
        <v>338</v>
      </c>
      <c r="I9" s="165">
        <v>90</v>
      </c>
      <c r="J9" s="166">
        <v>13.78</v>
      </c>
      <c r="K9" s="168">
        <v>8760</v>
      </c>
      <c r="L9" s="133" t="s">
        <v>185</v>
      </c>
      <c r="M9" s="166">
        <v>802.6</v>
      </c>
      <c r="N9" s="132">
        <v>27.07</v>
      </c>
      <c r="O9" s="134">
        <v>106</v>
      </c>
      <c r="P9" s="41">
        <f t="shared" ref="P9:P50" si="0">(M9*$B$5*K9*J9)/1000000/T9</f>
        <v>968.84093280000002</v>
      </c>
      <c r="Q9" s="21">
        <v>710.93468221089415</v>
      </c>
      <c r="R9" s="22">
        <f t="shared" ref="R9:R50" si="1">(Q9/S9)*12</f>
        <v>9.1129507099970937</v>
      </c>
      <c r="S9" s="36">
        <f t="shared" ref="S9:S50" si="2">(((J9*K9*M9)-(J9*K9*N9))/1000000*$B$5)/T9</f>
        <v>936.1639778399998</v>
      </c>
      <c r="T9" s="37">
        <v>0.8</v>
      </c>
      <c r="U9" s="22">
        <f t="shared" ref="U9:U50" si="3">(J9*K9*M9)/100000/T9</f>
        <v>1211.0511659999997</v>
      </c>
      <c r="V9" s="22">
        <f t="shared" ref="V9:V50" si="4">(J9*K9*N9)/100000/T9</f>
        <v>40.846193699999993</v>
      </c>
      <c r="W9" s="22">
        <f t="shared" ref="W9:W50" si="5">(J9*K9*(M9-N9))/100000/T9</f>
        <v>1170.2049722999998</v>
      </c>
      <c r="X9" s="154"/>
      <c r="Z9" s="154"/>
    </row>
    <row r="10" spans="1:26" s="17" customFormat="1" ht="15" customHeight="1">
      <c r="A10" s="133">
        <v>14</v>
      </c>
      <c r="B10" s="133" t="s">
        <v>173</v>
      </c>
      <c r="C10" s="133" t="s">
        <v>193</v>
      </c>
      <c r="D10" s="133" t="s">
        <v>194</v>
      </c>
      <c r="E10" s="133" t="s">
        <v>195</v>
      </c>
      <c r="F10" s="166">
        <v>1.25</v>
      </c>
      <c r="G10" s="166" t="s">
        <v>175</v>
      </c>
      <c r="H10" s="165">
        <v>259</v>
      </c>
      <c r="I10" s="165">
        <v>90</v>
      </c>
      <c r="J10" s="166">
        <v>0.71</v>
      </c>
      <c r="K10" s="168">
        <v>8760</v>
      </c>
      <c r="L10" s="133" t="s">
        <v>192</v>
      </c>
      <c r="M10" s="166">
        <v>464.9</v>
      </c>
      <c r="N10" s="132">
        <v>35.229999999999997</v>
      </c>
      <c r="O10" s="134">
        <v>110</v>
      </c>
      <c r="P10" s="41">
        <f t="shared" si="0"/>
        <v>28.9149204</v>
      </c>
      <c r="Q10" s="21">
        <v>290.45513957267724</v>
      </c>
      <c r="R10" s="22">
        <f t="shared" si="1"/>
        <v>130.42559449957304</v>
      </c>
      <c r="S10" s="36">
        <f t="shared" si="2"/>
        <v>26.723755319999995</v>
      </c>
      <c r="T10" s="37">
        <v>0.8</v>
      </c>
      <c r="U10" s="22">
        <f t="shared" si="3"/>
        <v>36.143650499999993</v>
      </c>
      <c r="V10" s="22">
        <f t="shared" si="4"/>
        <v>2.7389563499999996</v>
      </c>
      <c r="W10" s="22">
        <f t="shared" si="5"/>
        <v>33.40469414999999</v>
      </c>
      <c r="X10" s="154"/>
      <c r="Z10" s="154"/>
    </row>
    <row r="11" spans="1:26" s="17" customFormat="1" ht="15" customHeight="1">
      <c r="A11" s="133">
        <v>37</v>
      </c>
      <c r="B11" s="133" t="s">
        <v>173</v>
      </c>
      <c r="C11" s="133" t="s">
        <v>218</v>
      </c>
      <c r="D11" s="133" t="s">
        <v>222</v>
      </c>
      <c r="E11" s="133" t="s">
        <v>224</v>
      </c>
      <c r="F11" s="166">
        <v>1.25</v>
      </c>
      <c r="G11" s="166" t="s">
        <v>175</v>
      </c>
      <c r="H11" s="165">
        <v>353</v>
      </c>
      <c r="I11" s="165">
        <v>90</v>
      </c>
      <c r="J11" s="166">
        <v>0.71</v>
      </c>
      <c r="K11" s="168">
        <v>8760</v>
      </c>
      <c r="L11" s="133" t="s">
        <v>185</v>
      </c>
      <c r="M11" s="166">
        <v>855.1</v>
      </c>
      <c r="N11" s="132">
        <v>29.18</v>
      </c>
      <c r="O11" s="134">
        <v>107</v>
      </c>
      <c r="P11" s="41">
        <f t="shared" si="0"/>
        <v>53.183799599999993</v>
      </c>
      <c r="Q11" s="21">
        <v>317.23727604644898</v>
      </c>
      <c r="R11" s="22">
        <f t="shared" si="1"/>
        <v>74.107987647839053</v>
      </c>
      <c r="S11" s="36">
        <f t="shared" si="2"/>
        <v>51.368920319999994</v>
      </c>
      <c r="T11" s="37">
        <v>0.8</v>
      </c>
      <c r="U11" s="22">
        <f t="shared" si="3"/>
        <v>66.479749499999997</v>
      </c>
      <c r="V11" s="22">
        <f t="shared" si="4"/>
        <v>2.2685990999999994</v>
      </c>
      <c r="W11" s="22">
        <f t="shared" si="5"/>
        <v>64.211150399999994</v>
      </c>
      <c r="X11" s="154"/>
      <c r="Z11" s="154"/>
    </row>
    <row r="12" spans="1:26" s="17" customFormat="1" ht="15" customHeight="1">
      <c r="A12" s="133">
        <v>25</v>
      </c>
      <c r="B12" s="133" t="s">
        <v>173</v>
      </c>
      <c r="C12" s="133" t="s">
        <v>210</v>
      </c>
      <c r="D12" s="133" t="s">
        <v>175</v>
      </c>
      <c r="E12" s="133" t="s">
        <v>211</v>
      </c>
      <c r="F12" s="166">
        <v>1.5</v>
      </c>
      <c r="G12" s="166" t="s">
        <v>175</v>
      </c>
      <c r="H12" s="165">
        <v>353</v>
      </c>
      <c r="I12" s="165">
        <v>90</v>
      </c>
      <c r="J12" s="166">
        <v>2.58</v>
      </c>
      <c r="K12" s="168">
        <v>8760</v>
      </c>
      <c r="L12" s="133" t="s">
        <v>177</v>
      </c>
      <c r="M12" s="166">
        <v>846</v>
      </c>
      <c r="N12" s="132">
        <v>38.68</v>
      </c>
      <c r="O12" s="134">
        <v>112</v>
      </c>
      <c r="P12" s="41">
        <f t="shared" si="0"/>
        <v>191.20276799999999</v>
      </c>
      <c r="Q12" s="21">
        <v>437.756890178422</v>
      </c>
      <c r="R12" s="22">
        <f t="shared" si="1"/>
        <v>28.790202056567743</v>
      </c>
      <c r="S12" s="36">
        <f t="shared" si="2"/>
        <v>182.46077856000002</v>
      </c>
      <c r="T12" s="37">
        <v>0.8</v>
      </c>
      <c r="U12" s="22">
        <f t="shared" si="3"/>
        <v>239.00346000000002</v>
      </c>
      <c r="V12" s="22">
        <f t="shared" si="4"/>
        <v>10.927486799999999</v>
      </c>
      <c r="W12" s="22">
        <f t="shared" si="5"/>
        <v>228.07597319999999</v>
      </c>
      <c r="X12" s="154"/>
      <c r="Z12" s="154"/>
    </row>
    <row r="13" spans="1:26" s="17" customFormat="1">
      <c r="A13" s="133">
        <v>28</v>
      </c>
      <c r="B13" s="133" t="s">
        <v>173</v>
      </c>
      <c r="C13" s="133" t="s">
        <v>213</v>
      </c>
      <c r="D13" s="133" t="s">
        <v>175</v>
      </c>
      <c r="E13" s="133" t="s">
        <v>211</v>
      </c>
      <c r="F13" s="166">
        <v>1.5</v>
      </c>
      <c r="G13" s="166" t="s">
        <v>175</v>
      </c>
      <c r="H13" s="165">
        <v>353</v>
      </c>
      <c r="I13" s="165">
        <v>90</v>
      </c>
      <c r="J13" s="166">
        <v>2.58</v>
      </c>
      <c r="K13" s="168">
        <v>8760</v>
      </c>
      <c r="L13" s="133" t="s">
        <v>177</v>
      </c>
      <c r="M13" s="166">
        <v>846</v>
      </c>
      <c r="N13" s="132">
        <v>38.68</v>
      </c>
      <c r="O13" s="134">
        <v>112</v>
      </c>
      <c r="P13" s="41">
        <f t="shared" si="0"/>
        <v>191.20276799999999</v>
      </c>
      <c r="Q13" s="21">
        <v>437.756890178422</v>
      </c>
      <c r="R13" s="22">
        <f t="shared" si="1"/>
        <v>28.790202056567743</v>
      </c>
      <c r="S13" s="36">
        <f t="shared" si="2"/>
        <v>182.46077856000002</v>
      </c>
      <c r="T13" s="37">
        <v>0.8</v>
      </c>
      <c r="U13" s="22">
        <f t="shared" si="3"/>
        <v>239.00346000000002</v>
      </c>
      <c r="V13" s="22">
        <f t="shared" si="4"/>
        <v>10.927486799999999</v>
      </c>
      <c r="W13" s="22">
        <f t="shared" si="5"/>
        <v>228.07597319999999</v>
      </c>
      <c r="X13" s="154"/>
      <c r="Z13" s="154"/>
    </row>
    <row r="14" spans="1:26" s="17" customFormat="1">
      <c r="A14" s="133">
        <v>30</v>
      </c>
      <c r="B14" s="133" t="s">
        <v>173</v>
      </c>
      <c r="C14" s="133" t="s">
        <v>215</v>
      </c>
      <c r="D14" s="133" t="s">
        <v>175</v>
      </c>
      <c r="E14" s="133" t="s">
        <v>216</v>
      </c>
      <c r="F14" s="166">
        <v>1.5</v>
      </c>
      <c r="G14" s="166">
        <v>48</v>
      </c>
      <c r="H14" s="165">
        <v>338</v>
      </c>
      <c r="I14" s="165">
        <v>90</v>
      </c>
      <c r="J14" s="166">
        <v>28.08</v>
      </c>
      <c r="K14" s="168">
        <v>8760</v>
      </c>
      <c r="L14" s="133" t="s">
        <v>185</v>
      </c>
      <c r="M14" s="166">
        <v>777.8</v>
      </c>
      <c r="N14" s="132">
        <v>30.81</v>
      </c>
      <c r="O14" s="134">
        <v>108</v>
      </c>
      <c r="P14" s="41">
        <f t="shared" si="0"/>
        <v>1913.2386623999996</v>
      </c>
      <c r="Q14" s="21">
        <v>1462.1736103001924</v>
      </c>
      <c r="R14" s="22">
        <f t="shared" si="1"/>
        <v>9.5491384452204944</v>
      </c>
      <c r="S14" s="36">
        <f t="shared" si="2"/>
        <v>1837.45197792</v>
      </c>
      <c r="T14" s="37">
        <v>0.8</v>
      </c>
      <c r="U14" s="22">
        <f t="shared" si="3"/>
        <v>2391.5483279999999</v>
      </c>
      <c r="V14" s="22">
        <f t="shared" si="4"/>
        <v>94.733355599999982</v>
      </c>
      <c r="W14" s="22">
        <f t="shared" si="5"/>
        <v>2296.8149724</v>
      </c>
      <c r="X14" s="154"/>
      <c r="Z14" s="154"/>
    </row>
    <row r="15" spans="1:26" s="135" customFormat="1" ht="15" customHeight="1">
      <c r="A15" s="133">
        <v>33</v>
      </c>
      <c r="B15" s="133" t="s">
        <v>173</v>
      </c>
      <c r="C15" s="133" t="s">
        <v>218</v>
      </c>
      <c r="D15" s="133" t="s">
        <v>219</v>
      </c>
      <c r="E15" s="133" t="s">
        <v>220</v>
      </c>
      <c r="F15" s="166">
        <v>10</v>
      </c>
      <c r="G15" s="166" t="s">
        <v>175</v>
      </c>
      <c r="H15" s="165">
        <v>353</v>
      </c>
      <c r="I15" s="165">
        <v>90</v>
      </c>
      <c r="J15" s="166">
        <v>11.28</v>
      </c>
      <c r="K15" s="168">
        <v>8760</v>
      </c>
      <c r="L15" s="133" t="s">
        <v>177</v>
      </c>
      <c r="M15" s="166">
        <v>773.4</v>
      </c>
      <c r="N15" s="132">
        <v>51.68</v>
      </c>
      <c r="O15" s="134">
        <v>119</v>
      </c>
      <c r="P15" s="41">
        <f t="shared" si="0"/>
        <v>764.21819519999997</v>
      </c>
      <c r="Q15" s="21">
        <v>1464.8518239475695</v>
      </c>
      <c r="R15" s="22">
        <f t="shared" si="1"/>
        <v>24.648641933380198</v>
      </c>
      <c r="S15" s="36">
        <f t="shared" si="2"/>
        <v>713.15174015999992</v>
      </c>
      <c r="T15" s="37">
        <v>0.8</v>
      </c>
      <c r="U15" s="22">
        <f t="shared" si="3"/>
        <v>955.27274399999988</v>
      </c>
      <c r="V15" s="22">
        <f t="shared" si="4"/>
        <v>63.833068799999992</v>
      </c>
      <c r="W15" s="22">
        <f t="shared" si="5"/>
        <v>891.4396751999999</v>
      </c>
      <c r="X15" s="154"/>
      <c r="Z15" s="154"/>
    </row>
    <row r="16" spans="1:26" s="135" customFormat="1">
      <c r="A16" s="133">
        <v>21</v>
      </c>
      <c r="B16" s="133" t="s">
        <v>173</v>
      </c>
      <c r="C16" s="133" t="s">
        <v>202</v>
      </c>
      <c r="D16" s="133" t="s">
        <v>206</v>
      </c>
      <c r="E16" s="133" t="s">
        <v>207</v>
      </c>
      <c r="F16" s="166">
        <v>2</v>
      </c>
      <c r="G16" s="166" t="s">
        <v>175</v>
      </c>
      <c r="H16" s="165">
        <v>338</v>
      </c>
      <c r="I16" s="165">
        <v>90</v>
      </c>
      <c r="J16" s="166">
        <v>1.36</v>
      </c>
      <c r="K16" s="168">
        <v>8760</v>
      </c>
      <c r="L16" s="133" t="s">
        <v>177</v>
      </c>
      <c r="M16" s="166">
        <v>765.2</v>
      </c>
      <c r="N16" s="132">
        <v>37.549999999999997</v>
      </c>
      <c r="O16" s="134">
        <v>112</v>
      </c>
      <c r="P16" s="41">
        <f t="shared" si="0"/>
        <v>91.162867200000008</v>
      </c>
      <c r="Q16" s="21">
        <v>510.06865865760574</v>
      </c>
      <c r="R16" s="22">
        <f t="shared" si="1"/>
        <v>70.606443581667591</v>
      </c>
      <c r="S16" s="36">
        <f t="shared" si="2"/>
        <v>86.689310399999997</v>
      </c>
      <c r="T16" s="37">
        <v>0.8</v>
      </c>
      <c r="U16" s="22">
        <f t="shared" si="3"/>
        <v>113.95358400000001</v>
      </c>
      <c r="V16" s="22">
        <f t="shared" si="4"/>
        <v>5.5919459999999992</v>
      </c>
      <c r="W16" s="22">
        <f t="shared" si="5"/>
        <v>108.36163800000001</v>
      </c>
      <c r="X16" s="154"/>
      <c r="Z16" s="154"/>
    </row>
    <row r="17" spans="1:26" s="135" customFormat="1">
      <c r="A17" s="133">
        <v>22</v>
      </c>
      <c r="B17" s="133" t="s">
        <v>173</v>
      </c>
      <c r="C17" s="133" t="s">
        <v>202</v>
      </c>
      <c r="D17" s="133" t="s">
        <v>206</v>
      </c>
      <c r="E17" s="133" t="s">
        <v>208</v>
      </c>
      <c r="F17" s="166">
        <v>2</v>
      </c>
      <c r="G17" s="166" t="s">
        <v>175</v>
      </c>
      <c r="H17" s="165">
        <v>338</v>
      </c>
      <c r="I17" s="165">
        <v>90</v>
      </c>
      <c r="J17" s="166">
        <v>1.8</v>
      </c>
      <c r="K17" s="168">
        <v>8760</v>
      </c>
      <c r="L17" s="133" t="s">
        <v>182</v>
      </c>
      <c r="M17" s="166">
        <v>765.2</v>
      </c>
      <c r="N17" s="132">
        <v>46.42</v>
      </c>
      <c r="O17" s="134">
        <v>115</v>
      </c>
      <c r="P17" s="41">
        <f t="shared" si="0"/>
        <v>120.656736</v>
      </c>
      <c r="Q17" s="21">
        <v>443.11331747317632</v>
      </c>
      <c r="R17" s="22">
        <f t="shared" si="1"/>
        <v>46.916267416378616</v>
      </c>
      <c r="S17" s="36">
        <f t="shared" si="2"/>
        <v>113.3372304</v>
      </c>
      <c r="T17" s="37">
        <v>0.8</v>
      </c>
      <c r="U17" s="22">
        <f t="shared" si="3"/>
        <v>150.82092</v>
      </c>
      <c r="V17" s="22">
        <f t="shared" si="4"/>
        <v>9.1493819999999992</v>
      </c>
      <c r="W17" s="22">
        <f t="shared" si="5"/>
        <v>141.671538</v>
      </c>
      <c r="X17" s="154"/>
      <c r="Z17" s="154"/>
    </row>
    <row r="18" spans="1:26" s="135" customFormat="1">
      <c r="A18" s="133">
        <v>35</v>
      </c>
      <c r="B18" s="133" t="s">
        <v>173</v>
      </c>
      <c r="C18" s="133" t="s">
        <v>218</v>
      </c>
      <c r="D18" s="133" t="s">
        <v>222</v>
      </c>
      <c r="E18" s="133" t="s">
        <v>208</v>
      </c>
      <c r="F18" s="166">
        <v>2</v>
      </c>
      <c r="G18" s="166" t="s">
        <v>175</v>
      </c>
      <c r="H18" s="165">
        <v>353</v>
      </c>
      <c r="I18" s="165">
        <v>90</v>
      </c>
      <c r="J18" s="166">
        <v>1.8</v>
      </c>
      <c r="K18" s="168">
        <v>8760</v>
      </c>
      <c r="L18" s="133" t="s">
        <v>182</v>
      </c>
      <c r="M18" s="166">
        <v>832.5</v>
      </c>
      <c r="N18" s="132">
        <v>49.57</v>
      </c>
      <c r="O18" s="134">
        <v>117</v>
      </c>
      <c r="P18" s="41">
        <f t="shared" si="0"/>
        <v>131.26859999999999</v>
      </c>
      <c r="Q18" s="21">
        <v>443.11331747317632</v>
      </c>
      <c r="R18" s="22">
        <f t="shared" si="1"/>
        <v>43.072145266555914</v>
      </c>
      <c r="S18" s="36">
        <f t="shared" si="2"/>
        <v>123.4524024</v>
      </c>
      <c r="T18" s="37">
        <v>0.8</v>
      </c>
      <c r="U18" s="22">
        <f t="shared" si="3"/>
        <v>164.08574999999999</v>
      </c>
      <c r="V18" s="22">
        <f t="shared" si="4"/>
        <v>9.7702469999999995</v>
      </c>
      <c r="W18" s="22">
        <f t="shared" si="5"/>
        <v>154.31550299999998</v>
      </c>
      <c r="X18" s="154"/>
      <c r="Z18" s="154"/>
    </row>
    <row r="19" spans="1:26" s="135" customFormat="1">
      <c r="A19" s="133">
        <v>4</v>
      </c>
      <c r="B19" s="133" t="s">
        <v>173</v>
      </c>
      <c r="C19" s="133" t="s">
        <v>179</v>
      </c>
      <c r="D19" s="133" t="s">
        <v>175</v>
      </c>
      <c r="E19" s="133" t="s">
        <v>181</v>
      </c>
      <c r="F19" s="166">
        <v>2</v>
      </c>
      <c r="G19" s="166" t="s">
        <v>175</v>
      </c>
      <c r="H19" s="165">
        <v>338</v>
      </c>
      <c r="I19" s="165">
        <v>90</v>
      </c>
      <c r="J19" s="166">
        <v>1.8</v>
      </c>
      <c r="K19" s="168">
        <v>8760</v>
      </c>
      <c r="L19" s="133" t="s">
        <v>182</v>
      </c>
      <c r="M19" s="166">
        <v>765.2</v>
      </c>
      <c r="N19" s="132">
        <v>46.42</v>
      </c>
      <c r="O19" s="134">
        <v>115</v>
      </c>
      <c r="P19" s="41">
        <f t="shared" si="0"/>
        <v>120.656736</v>
      </c>
      <c r="Q19" s="21">
        <v>473.91277441801384</v>
      </c>
      <c r="R19" s="22">
        <f t="shared" si="1"/>
        <v>50.177274254410989</v>
      </c>
      <c r="S19" s="36">
        <f t="shared" si="2"/>
        <v>113.3372304</v>
      </c>
      <c r="T19" s="37">
        <v>0.8</v>
      </c>
      <c r="U19" s="22">
        <f t="shared" si="3"/>
        <v>150.82092</v>
      </c>
      <c r="V19" s="22">
        <f t="shared" si="4"/>
        <v>9.1493819999999992</v>
      </c>
      <c r="W19" s="22">
        <f t="shared" si="5"/>
        <v>141.671538</v>
      </c>
      <c r="X19" s="154"/>
      <c r="Z19" s="154"/>
    </row>
    <row r="20" spans="1:26" s="135" customFormat="1">
      <c r="A20" s="133">
        <v>5</v>
      </c>
      <c r="B20" s="133" t="s">
        <v>173</v>
      </c>
      <c r="C20" s="133" t="s">
        <v>179</v>
      </c>
      <c r="D20" s="133" t="s">
        <v>183</v>
      </c>
      <c r="E20" s="133" t="s">
        <v>181</v>
      </c>
      <c r="F20" s="166">
        <v>2</v>
      </c>
      <c r="G20" s="166" t="s">
        <v>175</v>
      </c>
      <c r="H20" s="165">
        <v>338</v>
      </c>
      <c r="I20" s="165">
        <v>90</v>
      </c>
      <c r="J20" s="166">
        <v>1.8</v>
      </c>
      <c r="K20" s="168">
        <v>8760</v>
      </c>
      <c r="L20" s="133" t="s">
        <v>182</v>
      </c>
      <c r="M20" s="166">
        <v>765.2</v>
      </c>
      <c r="N20" s="132">
        <v>46.42</v>
      </c>
      <c r="O20" s="134">
        <v>115</v>
      </c>
      <c r="P20" s="41">
        <f t="shared" si="0"/>
        <v>120.656736</v>
      </c>
      <c r="Q20" s="21">
        <v>473.91277441801384</v>
      </c>
      <c r="R20" s="22">
        <f t="shared" si="1"/>
        <v>50.177274254410989</v>
      </c>
      <c r="S20" s="36">
        <f t="shared" si="2"/>
        <v>113.3372304</v>
      </c>
      <c r="T20" s="37">
        <v>0.8</v>
      </c>
      <c r="U20" s="22">
        <f t="shared" si="3"/>
        <v>150.82092</v>
      </c>
      <c r="V20" s="22">
        <f t="shared" si="4"/>
        <v>9.1493819999999992</v>
      </c>
      <c r="W20" s="22">
        <f t="shared" si="5"/>
        <v>141.671538</v>
      </c>
      <c r="X20" s="154"/>
      <c r="Z20" s="154"/>
    </row>
    <row r="21" spans="1:26" s="135" customFormat="1">
      <c r="A21" s="133">
        <v>10</v>
      </c>
      <c r="B21" s="133" t="s">
        <v>173</v>
      </c>
      <c r="C21" s="133" t="s">
        <v>186</v>
      </c>
      <c r="D21" s="133" t="s">
        <v>175</v>
      </c>
      <c r="E21" s="133" t="s">
        <v>181</v>
      </c>
      <c r="F21" s="166">
        <v>2</v>
      </c>
      <c r="G21" s="166" t="s">
        <v>175</v>
      </c>
      <c r="H21" s="165">
        <v>338</v>
      </c>
      <c r="I21" s="165">
        <v>90</v>
      </c>
      <c r="J21" s="166">
        <v>1.8</v>
      </c>
      <c r="K21" s="168">
        <v>8760</v>
      </c>
      <c r="L21" s="133" t="s">
        <v>182</v>
      </c>
      <c r="M21" s="166">
        <v>765.2</v>
      </c>
      <c r="N21" s="132">
        <v>46.42</v>
      </c>
      <c r="O21" s="134">
        <v>115</v>
      </c>
      <c r="P21" s="41">
        <f t="shared" si="0"/>
        <v>120.656736</v>
      </c>
      <c r="Q21" s="21">
        <v>473.91277441801384</v>
      </c>
      <c r="R21" s="22">
        <f t="shared" si="1"/>
        <v>50.177274254410989</v>
      </c>
      <c r="S21" s="36">
        <f t="shared" si="2"/>
        <v>113.3372304</v>
      </c>
      <c r="T21" s="37">
        <v>0.8</v>
      </c>
      <c r="U21" s="22">
        <f t="shared" si="3"/>
        <v>150.82092</v>
      </c>
      <c r="V21" s="22">
        <f t="shared" si="4"/>
        <v>9.1493819999999992</v>
      </c>
      <c r="W21" s="22">
        <f t="shared" si="5"/>
        <v>141.671538</v>
      </c>
      <c r="X21" s="154"/>
      <c r="Z21" s="154"/>
    </row>
    <row r="22" spans="1:26" s="135" customFormat="1">
      <c r="A22" s="133">
        <v>11</v>
      </c>
      <c r="B22" s="133" t="s">
        <v>173</v>
      </c>
      <c r="C22" s="133" t="s">
        <v>186</v>
      </c>
      <c r="D22" s="133" t="s">
        <v>187</v>
      </c>
      <c r="E22" s="133" t="s">
        <v>181</v>
      </c>
      <c r="F22" s="166">
        <v>2</v>
      </c>
      <c r="G22" s="166" t="s">
        <v>175</v>
      </c>
      <c r="H22" s="165">
        <v>338</v>
      </c>
      <c r="I22" s="165">
        <v>90</v>
      </c>
      <c r="J22" s="166">
        <v>1.8</v>
      </c>
      <c r="K22" s="168">
        <v>8760</v>
      </c>
      <c r="L22" s="133" t="s">
        <v>182</v>
      </c>
      <c r="M22" s="166">
        <v>765.2</v>
      </c>
      <c r="N22" s="132">
        <v>46.42</v>
      </c>
      <c r="O22" s="134">
        <v>115</v>
      </c>
      <c r="P22" s="41">
        <f t="shared" si="0"/>
        <v>120.656736</v>
      </c>
      <c r="Q22" s="21">
        <v>473.91277441801384</v>
      </c>
      <c r="R22" s="22">
        <f t="shared" si="1"/>
        <v>50.177274254410989</v>
      </c>
      <c r="S22" s="36">
        <f t="shared" si="2"/>
        <v>113.3372304</v>
      </c>
      <c r="T22" s="37">
        <v>0.8</v>
      </c>
      <c r="U22" s="22">
        <f t="shared" si="3"/>
        <v>150.82092</v>
      </c>
      <c r="V22" s="22">
        <f t="shared" si="4"/>
        <v>9.1493819999999992</v>
      </c>
      <c r="W22" s="22">
        <f t="shared" si="5"/>
        <v>141.671538</v>
      </c>
      <c r="X22" s="154"/>
      <c r="Z22" s="154"/>
    </row>
    <row r="23" spans="1:26" s="135" customFormat="1">
      <c r="A23" s="133">
        <v>36</v>
      </c>
      <c r="B23" s="133" t="s">
        <v>173</v>
      </c>
      <c r="C23" s="133" t="s">
        <v>218</v>
      </c>
      <c r="D23" s="133" t="s">
        <v>222</v>
      </c>
      <c r="E23" s="133" t="s">
        <v>223</v>
      </c>
      <c r="F23" s="166">
        <v>2</v>
      </c>
      <c r="G23" s="166" t="s">
        <v>175</v>
      </c>
      <c r="H23" s="165">
        <v>353</v>
      </c>
      <c r="I23" s="165">
        <v>90</v>
      </c>
      <c r="J23" s="166">
        <v>1.62</v>
      </c>
      <c r="K23" s="168">
        <v>8760</v>
      </c>
      <c r="L23" s="133" t="s">
        <v>182</v>
      </c>
      <c r="M23" s="166">
        <v>832.5</v>
      </c>
      <c r="N23" s="132">
        <v>49.57</v>
      </c>
      <c r="O23" s="134">
        <v>117</v>
      </c>
      <c r="P23" s="41">
        <f t="shared" si="0"/>
        <v>118.14173999999998</v>
      </c>
      <c r="Q23" s="21">
        <v>554.25918383932924</v>
      </c>
      <c r="R23" s="22">
        <f t="shared" si="1"/>
        <v>59.862119387893387</v>
      </c>
      <c r="S23" s="36">
        <f t="shared" si="2"/>
        <v>111.10716216</v>
      </c>
      <c r="T23" s="37">
        <v>0.8</v>
      </c>
      <c r="U23" s="22">
        <f t="shared" si="3"/>
        <v>147.67717499999998</v>
      </c>
      <c r="V23" s="22">
        <f t="shared" si="4"/>
        <v>8.7932223</v>
      </c>
      <c r="W23" s="22">
        <f t="shared" si="5"/>
        <v>138.88395269999998</v>
      </c>
      <c r="X23" s="154"/>
      <c r="Z23" s="154"/>
    </row>
    <row r="24" spans="1:26" s="135" customFormat="1">
      <c r="A24" s="133">
        <v>6</v>
      </c>
      <c r="B24" s="133" t="s">
        <v>173</v>
      </c>
      <c r="C24" s="133" t="s">
        <v>179</v>
      </c>
      <c r="D24" s="133" t="s">
        <v>183</v>
      </c>
      <c r="E24" s="133" t="s">
        <v>184</v>
      </c>
      <c r="F24" s="166">
        <v>2</v>
      </c>
      <c r="G24" s="166">
        <v>21</v>
      </c>
      <c r="H24" s="165">
        <v>338</v>
      </c>
      <c r="I24" s="165">
        <v>90</v>
      </c>
      <c r="J24" s="166">
        <v>14.04</v>
      </c>
      <c r="K24" s="168">
        <v>8760</v>
      </c>
      <c r="L24" s="133" t="s">
        <v>185</v>
      </c>
      <c r="M24" s="166">
        <v>765.2</v>
      </c>
      <c r="N24" s="132">
        <v>31.63</v>
      </c>
      <c r="O24" s="134">
        <v>109</v>
      </c>
      <c r="P24" s="41">
        <f t="shared" si="0"/>
        <v>941.12254079999991</v>
      </c>
      <c r="Q24" s="21">
        <v>678.79611844236797</v>
      </c>
      <c r="R24" s="22">
        <f t="shared" si="1"/>
        <v>9.028338217502947</v>
      </c>
      <c r="S24" s="36">
        <f t="shared" si="2"/>
        <v>902.2206772799999</v>
      </c>
      <c r="T24" s="37">
        <v>0.8</v>
      </c>
      <c r="U24" s="22">
        <f t="shared" si="3"/>
        <v>1176.403176</v>
      </c>
      <c r="V24" s="22">
        <f t="shared" si="4"/>
        <v>48.627329399999986</v>
      </c>
      <c r="W24" s="22">
        <f t="shared" si="5"/>
        <v>1127.7758466</v>
      </c>
      <c r="X24" s="154"/>
      <c r="Z24" s="154"/>
    </row>
    <row r="25" spans="1:26" s="135" customFormat="1">
      <c r="A25" s="133">
        <v>12</v>
      </c>
      <c r="B25" s="133" t="s">
        <v>173</v>
      </c>
      <c r="C25" s="133" t="s">
        <v>188</v>
      </c>
      <c r="D25" s="133" t="s">
        <v>175</v>
      </c>
      <c r="E25" s="133" t="s">
        <v>184</v>
      </c>
      <c r="F25" s="166">
        <v>2</v>
      </c>
      <c r="G25" s="166">
        <v>21</v>
      </c>
      <c r="H25" s="165">
        <v>338</v>
      </c>
      <c r="I25" s="165">
        <v>90</v>
      </c>
      <c r="J25" s="166">
        <v>14.04</v>
      </c>
      <c r="K25" s="168">
        <v>8760</v>
      </c>
      <c r="L25" s="133" t="s">
        <v>185</v>
      </c>
      <c r="M25" s="166">
        <v>765.2</v>
      </c>
      <c r="N25" s="132">
        <v>31.63</v>
      </c>
      <c r="O25" s="134">
        <v>109</v>
      </c>
      <c r="P25" s="41">
        <f t="shared" si="0"/>
        <v>941.12254079999991</v>
      </c>
      <c r="Q25" s="21">
        <v>678.79611844236797</v>
      </c>
      <c r="R25" s="22">
        <f t="shared" si="1"/>
        <v>9.028338217502947</v>
      </c>
      <c r="S25" s="36">
        <f t="shared" si="2"/>
        <v>902.2206772799999</v>
      </c>
      <c r="T25" s="37">
        <v>0.8</v>
      </c>
      <c r="U25" s="22">
        <f t="shared" si="3"/>
        <v>1176.403176</v>
      </c>
      <c r="V25" s="22">
        <f t="shared" si="4"/>
        <v>48.627329399999986</v>
      </c>
      <c r="W25" s="22">
        <f t="shared" si="5"/>
        <v>1127.7758466</v>
      </c>
      <c r="X25" s="154"/>
      <c r="Z25" s="154"/>
    </row>
    <row r="26" spans="1:26" s="135" customFormat="1">
      <c r="A26" s="133">
        <v>31</v>
      </c>
      <c r="B26" s="133" t="s">
        <v>173</v>
      </c>
      <c r="C26" s="133" t="s">
        <v>215</v>
      </c>
      <c r="D26" s="133" t="s">
        <v>175</v>
      </c>
      <c r="E26" s="133" t="s">
        <v>184</v>
      </c>
      <c r="F26" s="166">
        <v>2</v>
      </c>
      <c r="G26" s="166">
        <v>30</v>
      </c>
      <c r="H26" s="165">
        <v>338</v>
      </c>
      <c r="I26" s="165">
        <v>90</v>
      </c>
      <c r="J26" s="166">
        <v>21.84</v>
      </c>
      <c r="K26" s="168">
        <v>8760</v>
      </c>
      <c r="L26" s="133" t="s">
        <v>185</v>
      </c>
      <c r="M26" s="166">
        <v>765.2</v>
      </c>
      <c r="N26" s="132">
        <v>31.63</v>
      </c>
      <c r="O26" s="134">
        <v>109</v>
      </c>
      <c r="P26" s="41">
        <f t="shared" si="0"/>
        <v>1463.9683967999999</v>
      </c>
      <c r="Q26" s="21">
        <v>1001.5208629513179</v>
      </c>
      <c r="R26" s="22">
        <f t="shared" si="1"/>
        <v>8.5633352018895472</v>
      </c>
      <c r="S26" s="36">
        <f t="shared" si="2"/>
        <v>1403.4543868799999</v>
      </c>
      <c r="T26" s="37">
        <v>0.8</v>
      </c>
      <c r="U26" s="22">
        <f t="shared" si="3"/>
        <v>1829.9604960000001</v>
      </c>
      <c r="V26" s="22">
        <f t="shared" si="4"/>
        <v>75.642512400000001</v>
      </c>
      <c r="W26" s="22">
        <f t="shared" si="5"/>
        <v>1754.3179835999997</v>
      </c>
      <c r="X26" s="154"/>
      <c r="Z26" s="154"/>
    </row>
    <row r="27" spans="1:26" s="135" customFormat="1">
      <c r="A27" s="133">
        <v>42</v>
      </c>
      <c r="B27" s="133" t="s">
        <v>173</v>
      </c>
      <c r="C27" s="133" t="s">
        <v>218</v>
      </c>
      <c r="D27" s="133" t="s">
        <v>227</v>
      </c>
      <c r="E27" s="133" t="s">
        <v>184</v>
      </c>
      <c r="F27" s="166">
        <v>2</v>
      </c>
      <c r="G27" s="166">
        <v>60</v>
      </c>
      <c r="H27" s="165">
        <v>353</v>
      </c>
      <c r="I27" s="165">
        <v>90</v>
      </c>
      <c r="J27" s="166">
        <v>41.6</v>
      </c>
      <c r="K27" s="168">
        <v>8760</v>
      </c>
      <c r="L27" s="133" t="s">
        <v>185</v>
      </c>
      <c r="M27" s="166">
        <v>832.5</v>
      </c>
      <c r="N27" s="132">
        <v>33.93</v>
      </c>
      <c r="O27" s="134">
        <v>110</v>
      </c>
      <c r="P27" s="41">
        <f t="shared" si="0"/>
        <v>3033.7631999999999</v>
      </c>
      <c r="Q27" s="21">
        <v>1822.393345872423</v>
      </c>
      <c r="R27" s="22">
        <f t="shared" si="1"/>
        <v>7.5147223526269791</v>
      </c>
      <c r="S27" s="36">
        <f t="shared" si="2"/>
        <v>2910.1168511999995</v>
      </c>
      <c r="T27" s="37">
        <v>0.8</v>
      </c>
      <c r="U27" s="22">
        <f t="shared" si="3"/>
        <v>3792.2039999999997</v>
      </c>
      <c r="V27" s="22">
        <f t="shared" si="4"/>
        <v>154.55793600000001</v>
      </c>
      <c r="W27" s="22">
        <f t="shared" si="5"/>
        <v>3637.6460639999996</v>
      </c>
      <c r="X27" s="154"/>
      <c r="Z27" s="154"/>
    </row>
    <row r="28" spans="1:26" s="135" customFormat="1">
      <c r="A28" s="133">
        <v>34</v>
      </c>
      <c r="B28" s="133" t="s">
        <v>173</v>
      </c>
      <c r="C28" s="133" t="s">
        <v>218</v>
      </c>
      <c r="D28" s="133" t="s">
        <v>219</v>
      </c>
      <c r="E28" s="133" t="s">
        <v>221</v>
      </c>
      <c r="F28" s="166">
        <v>2.5</v>
      </c>
      <c r="G28" s="166" t="s">
        <v>175</v>
      </c>
      <c r="H28" s="165">
        <v>353</v>
      </c>
      <c r="I28" s="165">
        <v>90</v>
      </c>
      <c r="J28" s="166">
        <v>3.49</v>
      </c>
      <c r="K28" s="168">
        <v>8760</v>
      </c>
      <c r="L28" s="133" t="s">
        <v>177</v>
      </c>
      <c r="M28" s="166">
        <v>822</v>
      </c>
      <c r="N28" s="132">
        <v>41.65</v>
      </c>
      <c r="O28" s="134">
        <v>114</v>
      </c>
      <c r="P28" s="41">
        <f t="shared" si="0"/>
        <v>251.305128</v>
      </c>
      <c r="Q28" s="21">
        <v>625.23184549482448</v>
      </c>
      <c r="R28" s="22">
        <f t="shared" si="1"/>
        <v>31.448748573435907</v>
      </c>
      <c r="S28" s="36">
        <f t="shared" si="2"/>
        <v>238.57172339999997</v>
      </c>
      <c r="T28" s="37">
        <v>0.8</v>
      </c>
      <c r="U28" s="22">
        <f t="shared" si="3"/>
        <v>314.13140999999996</v>
      </c>
      <c r="V28" s="22">
        <f t="shared" si="4"/>
        <v>15.91675575</v>
      </c>
      <c r="W28" s="22">
        <f t="shared" si="5"/>
        <v>298.21465425000002</v>
      </c>
      <c r="X28" s="154"/>
      <c r="Z28" s="154"/>
    </row>
    <row r="29" spans="1:26" s="135" customFormat="1">
      <c r="A29" s="133">
        <v>19</v>
      </c>
      <c r="B29" s="133" t="s">
        <v>173</v>
      </c>
      <c r="C29" s="133" t="s">
        <v>202</v>
      </c>
      <c r="D29" s="133" t="s">
        <v>203</v>
      </c>
      <c r="E29" s="133" t="s">
        <v>204</v>
      </c>
      <c r="F29" s="166">
        <v>3</v>
      </c>
      <c r="G29" s="166" t="s">
        <v>175</v>
      </c>
      <c r="H29" s="165">
        <v>338</v>
      </c>
      <c r="I29" s="165">
        <v>90</v>
      </c>
      <c r="J29" s="166">
        <v>1.75</v>
      </c>
      <c r="K29" s="168">
        <v>8760</v>
      </c>
      <c r="L29" s="133" t="s">
        <v>177</v>
      </c>
      <c r="M29" s="166">
        <v>746.4</v>
      </c>
      <c r="N29" s="132">
        <v>41.08</v>
      </c>
      <c r="O29" s="134">
        <v>113</v>
      </c>
      <c r="P29" s="41">
        <f t="shared" si="0"/>
        <v>114.42311999999998</v>
      </c>
      <c r="Q29" s="21">
        <v>574.34578619465799</v>
      </c>
      <c r="R29" s="22">
        <f t="shared" si="1"/>
        <v>63.742094739710708</v>
      </c>
      <c r="S29" s="36">
        <f t="shared" si="2"/>
        <v>108.12555599999999</v>
      </c>
      <c r="T29" s="37">
        <v>0.8</v>
      </c>
      <c r="U29" s="22">
        <f t="shared" si="3"/>
        <v>143.02889999999999</v>
      </c>
      <c r="V29" s="22">
        <f t="shared" si="4"/>
        <v>7.8719549999999998</v>
      </c>
      <c r="W29" s="22">
        <f t="shared" si="5"/>
        <v>135.15694500000001</v>
      </c>
      <c r="X29" s="154"/>
      <c r="Z29" s="154"/>
    </row>
    <row r="30" spans="1:26" s="135" customFormat="1">
      <c r="A30" s="133">
        <v>15</v>
      </c>
      <c r="B30" s="133" t="s">
        <v>173</v>
      </c>
      <c r="C30" s="133" t="s">
        <v>196</v>
      </c>
      <c r="D30" s="133" t="s">
        <v>175</v>
      </c>
      <c r="E30" s="133" t="s">
        <v>197</v>
      </c>
      <c r="F30" s="166">
        <v>3</v>
      </c>
      <c r="G30" s="166" t="s">
        <v>175</v>
      </c>
      <c r="H30" s="165">
        <v>259</v>
      </c>
      <c r="I30" s="165">
        <v>90</v>
      </c>
      <c r="J30" s="166">
        <v>1.47</v>
      </c>
      <c r="K30" s="168">
        <v>8760</v>
      </c>
      <c r="L30" s="133" t="s">
        <v>192</v>
      </c>
      <c r="M30" s="166">
        <v>439.5</v>
      </c>
      <c r="N30" s="132">
        <v>35.72</v>
      </c>
      <c r="O30" s="134">
        <v>111</v>
      </c>
      <c r="P30" s="41">
        <f t="shared" si="0"/>
        <v>56.595293999999988</v>
      </c>
      <c r="Q30" s="21">
        <v>464.53902665219374</v>
      </c>
      <c r="R30" s="22">
        <f t="shared" si="1"/>
        <v>107.21047176131182</v>
      </c>
      <c r="S30" s="36">
        <f t="shared" si="2"/>
        <v>51.995558159999987</v>
      </c>
      <c r="T30" s="37">
        <v>0.8</v>
      </c>
      <c r="U30" s="22">
        <f t="shared" si="3"/>
        <v>70.744117499999987</v>
      </c>
      <c r="V30" s="22">
        <f t="shared" si="4"/>
        <v>5.7496697999999995</v>
      </c>
      <c r="W30" s="22">
        <f t="shared" si="5"/>
        <v>64.994447699999995</v>
      </c>
      <c r="X30" s="154"/>
      <c r="Z30" s="154"/>
    </row>
    <row r="31" spans="1:26" s="135" customFormat="1">
      <c r="A31" s="133">
        <v>13</v>
      </c>
      <c r="B31" s="133" t="s">
        <v>173</v>
      </c>
      <c r="C31" s="133" t="s">
        <v>189</v>
      </c>
      <c r="D31" s="133" t="s">
        <v>190</v>
      </c>
      <c r="E31" s="133" t="s">
        <v>191</v>
      </c>
      <c r="F31" s="166">
        <v>3</v>
      </c>
      <c r="G31" s="166" t="s">
        <v>175</v>
      </c>
      <c r="H31" s="165">
        <v>259</v>
      </c>
      <c r="I31" s="165">
        <v>90</v>
      </c>
      <c r="J31" s="166">
        <v>2.0499999999999998</v>
      </c>
      <c r="K31" s="168">
        <v>8760</v>
      </c>
      <c r="L31" s="133" t="s">
        <v>192</v>
      </c>
      <c r="M31" s="166">
        <v>439.5</v>
      </c>
      <c r="N31" s="132">
        <v>35.72</v>
      </c>
      <c r="O31" s="134">
        <v>111</v>
      </c>
      <c r="P31" s="41">
        <f t="shared" si="0"/>
        <v>78.925409999999985</v>
      </c>
      <c r="Q31" s="21">
        <v>484.62562900752266</v>
      </c>
      <c r="R31" s="22">
        <f t="shared" si="1"/>
        <v>80.20193617483551</v>
      </c>
      <c r="S31" s="36">
        <f t="shared" si="2"/>
        <v>72.510812400000006</v>
      </c>
      <c r="T31" s="37">
        <v>0.8</v>
      </c>
      <c r="U31" s="22">
        <f t="shared" si="3"/>
        <v>98.656762499999999</v>
      </c>
      <c r="V31" s="22">
        <f t="shared" si="4"/>
        <v>8.0182470000000006</v>
      </c>
      <c r="W31" s="22">
        <f t="shared" si="5"/>
        <v>90.638515499999983</v>
      </c>
      <c r="X31" s="154"/>
      <c r="Z31" s="154"/>
    </row>
    <row r="32" spans="1:26" s="135" customFormat="1">
      <c r="A32" s="133">
        <v>16</v>
      </c>
      <c r="B32" s="133" t="s">
        <v>173</v>
      </c>
      <c r="C32" s="133" t="s">
        <v>198</v>
      </c>
      <c r="D32" s="133" t="s">
        <v>175</v>
      </c>
      <c r="E32" s="133" t="s">
        <v>199</v>
      </c>
      <c r="F32" s="166">
        <v>4</v>
      </c>
      <c r="G32" s="166" t="s">
        <v>175</v>
      </c>
      <c r="H32" s="165">
        <v>338</v>
      </c>
      <c r="I32" s="165">
        <v>90</v>
      </c>
      <c r="J32" s="166">
        <v>5.43</v>
      </c>
      <c r="K32" s="168">
        <v>8760</v>
      </c>
      <c r="L32" s="133" t="s">
        <v>177</v>
      </c>
      <c r="M32" s="166">
        <v>736.3</v>
      </c>
      <c r="N32" s="132">
        <v>41.6</v>
      </c>
      <c r="O32" s="134">
        <v>114</v>
      </c>
      <c r="P32" s="41">
        <f t="shared" si="0"/>
        <v>350.23434839999993</v>
      </c>
      <c r="Q32" s="21">
        <v>834.13250999024433</v>
      </c>
      <c r="R32" s="22">
        <f t="shared" si="1"/>
        <v>30.291101024018445</v>
      </c>
      <c r="S32" s="36">
        <f t="shared" si="2"/>
        <v>330.4465596</v>
      </c>
      <c r="T32" s="37">
        <v>0.8</v>
      </c>
      <c r="U32" s="22">
        <f t="shared" si="3"/>
        <v>437.79293549999994</v>
      </c>
      <c r="V32" s="22">
        <f t="shared" si="4"/>
        <v>24.734735999999995</v>
      </c>
      <c r="W32" s="22">
        <f t="shared" si="5"/>
        <v>413.05819949999989</v>
      </c>
      <c r="X32" s="154"/>
      <c r="Z32" s="154"/>
    </row>
    <row r="33" spans="1:26" s="135" customFormat="1">
      <c r="A33" s="133">
        <v>38</v>
      </c>
      <c r="B33" s="133" t="s">
        <v>173</v>
      </c>
      <c r="C33" s="133" t="s">
        <v>218</v>
      </c>
      <c r="D33" s="133" t="s">
        <v>225</v>
      </c>
      <c r="E33" s="133" t="s">
        <v>199</v>
      </c>
      <c r="F33" s="166">
        <v>4</v>
      </c>
      <c r="G33" s="166" t="s">
        <v>175</v>
      </c>
      <c r="H33" s="165">
        <v>353</v>
      </c>
      <c r="I33" s="165">
        <v>90</v>
      </c>
      <c r="J33" s="166">
        <v>5.43</v>
      </c>
      <c r="K33" s="168">
        <v>8760</v>
      </c>
      <c r="L33" s="133" t="s">
        <v>177</v>
      </c>
      <c r="M33" s="166">
        <v>801.5</v>
      </c>
      <c r="N33" s="132">
        <v>44.58</v>
      </c>
      <c r="O33" s="134">
        <v>115</v>
      </c>
      <c r="P33" s="41">
        <f t="shared" si="0"/>
        <v>381.2479019999999</v>
      </c>
      <c r="Q33" s="21">
        <v>834.13250999024433</v>
      </c>
      <c r="R33" s="22">
        <f t="shared" si="1"/>
        <v>27.801125457625133</v>
      </c>
      <c r="S33" s="36">
        <f t="shared" si="2"/>
        <v>360.04262255999993</v>
      </c>
      <c r="T33" s="37">
        <v>0.8</v>
      </c>
      <c r="U33" s="22">
        <f t="shared" si="3"/>
        <v>476.55987749999991</v>
      </c>
      <c r="V33" s="22">
        <f t="shared" si="4"/>
        <v>26.506599299999998</v>
      </c>
      <c r="W33" s="22">
        <f t="shared" si="5"/>
        <v>450.05327819999997</v>
      </c>
      <c r="X33" s="154"/>
      <c r="Z33" s="154"/>
    </row>
    <row r="34" spans="1:26" s="135" customFormat="1">
      <c r="A34" s="133">
        <v>40</v>
      </c>
      <c r="B34" s="133" t="s">
        <v>173</v>
      </c>
      <c r="C34" s="133" t="s">
        <v>218</v>
      </c>
      <c r="D34" s="133" t="s">
        <v>225</v>
      </c>
      <c r="E34" s="133" t="s">
        <v>199</v>
      </c>
      <c r="F34" s="166">
        <v>4</v>
      </c>
      <c r="G34" s="166" t="s">
        <v>175</v>
      </c>
      <c r="H34" s="165">
        <v>353</v>
      </c>
      <c r="I34" s="165">
        <v>90</v>
      </c>
      <c r="J34" s="166">
        <v>5.43</v>
      </c>
      <c r="K34" s="168">
        <v>8760</v>
      </c>
      <c r="L34" s="133" t="s">
        <v>177</v>
      </c>
      <c r="M34" s="166">
        <v>801.5</v>
      </c>
      <c r="N34" s="132">
        <v>44.58</v>
      </c>
      <c r="O34" s="134">
        <v>115</v>
      </c>
      <c r="P34" s="41">
        <f t="shared" si="0"/>
        <v>381.2479019999999</v>
      </c>
      <c r="Q34" s="21">
        <v>834.13250999024433</v>
      </c>
      <c r="R34" s="22">
        <f t="shared" si="1"/>
        <v>27.801125457625133</v>
      </c>
      <c r="S34" s="36">
        <f t="shared" si="2"/>
        <v>360.04262255999993</v>
      </c>
      <c r="T34" s="37">
        <v>0.8</v>
      </c>
      <c r="U34" s="22">
        <f t="shared" si="3"/>
        <v>476.55987749999991</v>
      </c>
      <c r="V34" s="22">
        <f t="shared" si="4"/>
        <v>26.506599299999998</v>
      </c>
      <c r="W34" s="22">
        <f t="shared" si="5"/>
        <v>450.05327819999997</v>
      </c>
      <c r="X34" s="154"/>
      <c r="Z34" s="154"/>
    </row>
    <row r="35" spans="1:26" s="135" customFormat="1">
      <c r="A35" s="133">
        <v>41</v>
      </c>
      <c r="B35" s="133" t="s">
        <v>173</v>
      </c>
      <c r="C35" s="133" t="s">
        <v>218</v>
      </c>
      <c r="D35" s="133" t="s">
        <v>227</v>
      </c>
      <c r="E35" s="133" t="s">
        <v>199</v>
      </c>
      <c r="F35" s="166">
        <v>4</v>
      </c>
      <c r="G35" s="166" t="s">
        <v>175</v>
      </c>
      <c r="H35" s="165">
        <v>353</v>
      </c>
      <c r="I35" s="165">
        <v>90</v>
      </c>
      <c r="J35" s="166">
        <v>5.43</v>
      </c>
      <c r="K35" s="168">
        <v>8760</v>
      </c>
      <c r="L35" s="133" t="s">
        <v>177</v>
      </c>
      <c r="M35" s="166">
        <v>801.5</v>
      </c>
      <c r="N35" s="132">
        <v>44.58</v>
      </c>
      <c r="O35" s="134">
        <v>115</v>
      </c>
      <c r="P35" s="41">
        <f t="shared" si="0"/>
        <v>381.2479019999999</v>
      </c>
      <c r="Q35" s="21">
        <v>834.13250999024433</v>
      </c>
      <c r="R35" s="22">
        <f t="shared" si="1"/>
        <v>27.801125457625133</v>
      </c>
      <c r="S35" s="36">
        <f t="shared" si="2"/>
        <v>360.04262255999993</v>
      </c>
      <c r="T35" s="37">
        <v>0.8</v>
      </c>
      <c r="U35" s="22">
        <f t="shared" si="3"/>
        <v>476.55987749999991</v>
      </c>
      <c r="V35" s="22">
        <f t="shared" si="4"/>
        <v>26.506599299999998</v>
      </c>
      <c r="W35" s="22">
        <f t="shared" si="5"/>
        <v>450.05327819999997</v>
      </c>
      <c r="X35" s="154"/>
      <c r="Z35" s="154"/>
    </row>
    <row r="36" spans="1:26" s="135" customFormat="1">
      <c r="A36" s="133">
        <v>39</v>
      </c>
      <c r="B36" s="133" t="s">
        <v>173</v>
      </c>
      <c r="C36" s="133" t="s">
        <v>218</v>
      </c>
      <c r="D36" s="133" t="s">
        <v>225</v>
      </c>
      <c r="E36" s="133" t="s">
        <v>226</v>
      </c>
      <c r="F36" s="166">
        <v>6</v>
      </c>
      <c r="G36" s="166" t="s">
        <v>175</v>
      </c>
      <c r="H36" s="165">
        <v>353</v>
      </c>
      <c r="I36" s="165">
        <v>90</v>
      </c>
      <c r="J36" s="166">
        <v>6.92</v>
      </c>
      <c r="K36" s="168">
        <v>8760</v>
      </c>
      <c r="L36" s="133" t="s">
        <v>177</v>
      </c>
      <c r="M36" s="166">
        <v>787.5</v>
      </c>
      <c r="N36" s="132">
        <v>49.71</v>
      </c>
      <c r="O36" s="134">
        <v>118</v>
      </c>
      <c r="P36" s="41">
        <f t="shared" si="0"/>
        <v>477.37619999999998</v>
      </c>
      <c r="Q36" s="21">
        <v>994.82532883287502</v>
      </c>
      <c r="R36" s="22">
        <f t="shared" si="1"/>
        <v>26.692245773891301</v>
      </c>
      <c r="S36" s="36">
        <f t="shared" si="2"/>
        <v>447.24239568000002</v>
      </c>
      <c r="T36" s="37">
        <v>0.8</v>
      </c>
      <c r="U36" s="22">
        <f t="shared" si="3"/>
        <v>596.72024999999996</v>
      </c>
      <c r="V36" s="22">
        <f t="shared" si="4"/>
        <v>37.667255399999995</v>
      </c>
      <c r="W36" s="22">
        <f t="shared" si="5"/>
        <v>559.05299459999992</v>
      </c>
      <c r="X36" s="154"/>
      <c r="Z36" s="154"/>
    </row>
    <row r="37" spans="1:26" s="135" customFormat="1">
      <c r="A37" s="133">
        <v>1</v>
      </c>
      <c r="B37" s="133" t="s">
        <v>173</v>
      </c>
      <c r="C37" s="133" t="s">
        <v>174</v>
      </c>
      <c r="D37" s="133" t="s">
        <v>175</v>
      </c>
      <c r="E37" s="133" t="s">
        <v>176</v>
      </c>
      <c r="F37" s="166">
        <v>6</v>
      </c>
      <c r="G37" s="166" t="s">
        <v>175</v>
      </c>
      <c r="H37" s="165">
        <v>350</v>
      </c>
      <c r="I37" s="165">
        <v>90</v>
      </c>
      <c r="J37" s="166">
        <v>6.92</v>
      </c>
      <c r="K37" s="168">
        <v>8760</v>
      </c>
      <c r="L37" s="133" t="s">
        <v>177</v>
      </c>
      <c r="M37" s="166">
        <v>774.5</v>
      </c>
      <c r="N37" s="132">
        <v>49.04</v>
      </c>
      <c r="O37" s="134">
        <v>117</v>
      </c>
      <c r="P37" s="41">
        <f t="shared" si="0"/>
        <v>469.49570399999999</v>
      </c>
      <c r="Q37" s="21">
        <v>1219.7952752125582</v>
      </c>
      <c r="R37" s="22">
        <f t="shared" si="1"/>
        <v>33.284690323612587</v>
      </c>
      <c r="S37" s="36">
        <f t="shared" si="2"/>
        <v>439.76804831999999</v>
      </c>
      <c r="T37" s="37">
        <v>0.8</v>
      </c>
      <c r="U37" s="22">
        <f t="shared" si="3"/>
        <v>586.86962999999992</v>
      </c>
      <c r="V37" s="22">
        <f t="shared" si="4"/>
        <v>37.159569599999998</v>
      </c>
      <c r="W37" s="22">
        <f t="shared" si="5"/>
        <v>549.71006039999997</v>
      </c>
      <c r="X37" s="154"/>
      <c r="Z37" s="154"/>
    </row>
    <row r="38" spans="1:26" s="135" customFormat="1">
      <c r="A38" s="133">
        <v>7</v>
      </c>
      <c r="B38" s="133" t="s">
        <v>173</v>
      </c>
      <c r="C38" s="133" t="s">
        <v>186</v>
      </c>
      <c r="D38" s="133" t="s">
        <v>175</v>
      </c>
      <c r="E38" s="133" t="s">
        <v>176</v>
      </c>
      <c r="F38" s="166">
        <v>6</v>
      </c>
      <c r="G38" s="166" t="s">
        <v>175</v>
      </c>
      <c r="H38" s="165">
        <v>350</v>
      </c>
      <c r="I38" s="165">
        <v>90</v>
      </c>
      <c r="J38" s="166">
        <v>6.92</v>
      </c>
      <c r="K38" s="168">
        <v>8760</v>
      </c>
      <c r="L38" s="133" t="s">
        <v>177</v>
      </c>
      <c r="M38" s="166">
        <v>774.5</v>
      </c>
      <c r="N38" s="132">
        <v>49.04</v>
      </c>
      <c r="O38" s="134">
        <v>117</v>
      </c>
      <c r="P38" s="41">
        <f t="shared" si="0"/>
        <v>469.49570399999999</v>
      </c>
      <c r="Q38" s="21">
        <v>1219.7952752125582</v>
      </c>
      <c r="R38" s="22">
        <f t="shared" si="1"/>
        <v>33.284690323612587</v>
      </c>
      <c r="S38" s="36">
        <f t="shared" si="2"/>
        <v>439.76804831999999</v>
      </c>
      <c r="T38" s="37">
        <v>0.8</v>
      </c>
      <c r="U38" s="22">
        <f t="shared" si="3"/>
        <v>586.86962999999992</v>
      </c>
      <c r="V38" s="22">
        <f t="shared" si="4"/>
        <v>37.159569599999998</v>
      </c>
      <c r="W38" s="22">
        <f t="shared" si="5"/>
        <v>549.71006039999997</v>
      </c>
      <c r="X38" s="154"/>
      <c r="Z38" s="154"/>
    </row>
    <row r="39" spans="1:26" s="135" customFormat="1">
      <c r="A39" s="133">
        <v>20</v>
      </c>
      <c r="B39" s="133" t="s">
        <v>173</v>
      </c>
      <c r="C39" s="133" t="s">
        <v>202</v>
      </c>
      <c r="D39" s="133" t="s">
        <v>203</v>
      </c>
      <c r="E39" s="133" t="s">
        <v>205</v>
      </c>
      <c r="F39" s="166">
        <v>8</v>
      </c>
      <c r="G39" s="166" t="s">
        <v>175</v>
      </c>
      <c r="H39" s="165">
        <v>338</v>
      </c>
      <c r="I39" s="165">
        <v>90</v>
      </c>
      <c r="J39" s="166">
        <v>2.79</v>
      </c>
      <c r="K39" s="168">
        <v>8760</v>
      </c>
      <c r="L39" s="133" t="s">
        <v>177</v>
      </c>
      <c r="M39" s="166">
        <v>715.7</v>
      </c>
      <c r="N39" s="132">
        <v>45.27</v>
      </c>
      <c r="O39" s="134">
        <v>116</v>
      </c>
      <c r="P39" s="41">
        <f t="shared" si="0"/>
        <v>174.9199428</v>
      </c>
      <c r="Q39" s="21">
        <v>589.07596125523253</v>
      </c>
      <c r="R39" s="22">
        <f t="shared" si="1"/>
        <v>43.141058594262823</v>
      </c>
      <c r="S39" s="36">
        <f t="shared" si="2"/>
        <v>163.85577372</v>
      </c>
      <c r="T39" s="37">
        <v>0.8</v>
      </c>
      <c r="U39" s="22">
        <f t="shared" si="3"/>
        <v>218.64992849999999</v>
      </c>
      <c r="V39" s="22">
        <f t="shared" si="4"/>
        <v>13.830211350000001</v>
      </c>
      <c r="W39" s="22">
        <f t="shared" si="5"/>
        <v>204.81971715000003</v>
      </c>
      <c r="X39" s="154"/>
      <c r="Z39" s="154"/>
    </row>
    <row r="40" spans="1:26" s="135" customFormat="1">
      <c r="A40" s="133">
        <v>23</v>
      </c>
      <c r="B40" s="133" t="s">
        <v>173</v>
      </c>
      <c r="C40" s="133" t="s">
        <v>202</v>
      </c>
      <c r="D40" s="133" t="s">
        <v>209</v>
      </c>
      <c r="E40" s="133" t="s">
        <v>205</v>
      </c>
      <c r="F40" s="166">
        <v>8</v>
      </c>
      <c r="G40" s="166" t="s">
        <v>175</v>
      </c>
      <c r="H40" s="165">
        <v>338</v>
      </c>
      <c r="I40" s="165">
        <v>90</v>
      </c>
      <c r="J40" s="166">
        <v>2.79</v>
      </c>
      <c r="K40" s="168">
        <v>8760</v>
      </c>
      <c r="L40" s="133" t="s">
        <v>177</v>
      </c>
      <c r="M40" s="166">
        <v>715.7</v>
      </c>
      <c r="N40" s="132">
        <v>45.27</v>
      </c>
      <c r="O40" s="134">
        <v>116</v>
      </c>
      <c r="P40" s="41">
        <f t="shared" si="0"/>
        <v>174.9199428</v>
      </c>
      <c r="Q40" s="21">
        <v>589.07596125523253</v>
      </c>
      <c r="R40" s="22">
        <f t="shared" si="1"/>
        <v>43.141058594262823</v>
      </c>
      <c r="S40" s="36">
        <f t="shared" si="2"/>
        <v>163.85577372</v>
      </c>
      <c r="T40" s="37">
        <v>0.8</v>
      </c>
      <c r="U40" s="22">
        <f t="shared" si="3"/>
        <v>218.64992849999999</v>
      </c>
      <c r="V40" s="22">
        <f t="shared" si="4"/>
        <v>13.830211350000001</v>
      </c>
      <c r="W40" s="22">
        <f t="shared" si="5"/>
        <v>204.81971715000003</v>
      </c>
      <c r="X40" s="154"/>
      <c r="Z40" s="154"/>
    </row>
    <row r="41" spans="1:26" s="135" customFormat="1">
      <c r="A41" s="133">
        <v>2</v>
      </c>
      <c r="B41" s="133" t="s">
        <v>173</v>
      </c>
      <c r="C41" s="133" t="s">
        <v>174</v>
      </c>
      <c r="D41" s="133" t="s">
        <v>175</v>
      </c>
      <c r="E41" s="133" t="s">
        <v>178</v>
      </c>
      <c r="F41" s="166">
        <v>8</v>
      </c>
      <c r="G41" s="166" t="s">
        <v>175</v>
      </c>
      <c r="H41" s="165">
        <v>350</v>
      </c>
      <c r="I41" s="165">
        <v>90</v>
      </c>
      <c r="J41" s="166">
        <v>8.1999999999999993</v>
      </c>
      <c r="K41" s="168">
        <v>8760</v>
      </c>
      <c r="L41" s="133" t="s">
        <v>177</v>
      </c>
      <c r="M41" s="166">
        <v>766.5</v>
      </c>
      <c r="N41" s="132">
        <v>47.96</v>
      </c>
      <c r="O41" s="134">
        <v>117</v>
      </c>
      <c r="P41" s="41">
        <f t="shared" si="0"/>
        <v>550.59227999999985</v>
      </c>
      <c r="Q41" s="21">
        <v>1392.5400554683858</v>
      </c>
      <c r="R41" s="22">
        <f t="shared" si="1"/>
        <v>32.375764627730561</v>
      </c>
      <c r="S41" s="36">
        <f t="shared" si="2"/>
        <v>516.14165279999997</v>
      </c>
      <c r="T41" s="37">
        <v>0.8</v>
      </c>
      <c r="U41" s="22">
        <f t="shared" si="3"/>
        <v>688.24034999999992</v>
      </c>
      <c r="V41" s="22">
        <f t="shared" si="4"/>
        <v>43.063283999999996</v>
      </c>
      <c r="W41" s="22">
        <f t="shared" si="5"/>
        <v>645.17706599999997</v>
      </c>
      <c r="X41" s="154"/>
      <c r="Z41" s="154"/>
    </row>
    <row r="42" spans="1:26" s="135" customFormat="1">
      <c r="A42" s="133">
        <v>8</v>
      </c>
      <c r="B42" s="133" t="s">
        <v>173</v>
      </c>
      <c r="C42" s="133" t="s">
        <v>186</v>
      </c>
      <c r="D42" s="133" t="s">
        <v>175</v>
      </c>
      <c r="E42" s="133" t="s">
        <v>178</v>
      </c>
      <c r="F42" s="166">
        <v>8</v>
      </c>
      <c r="G42" s="166" t="s">
        <v>175</v>
      </c>
      <c r="H42" s="165">
        <v>350</v>
      </c>
      <c r="I42" s="165">
        <v>90</v>
      </c>
      <c r="J42" s="166">
        <v>8.1999999999999993</v>
      </c>
      <c r="K42" s="168">
        <v>8760</v>
      </c>
      <c r="L42" s="133" t="s">
        <v>177</v>
      </c>
      <c r="M42" s="166">
        <v>766.5</v>
      </c>
      <c r="N42" s="132">
        <v>47.96</v>
      </c>
      <c r="O42" s="134">
        <v>117</v>
      </c>
      <c r="P42" s="41">
        <f t="shared" si="0"/>
        <v>550.59227999999985</v>
      </c>
      <c r="Q42" s="21">
        <v>1392.5400554683858</v>
      </c>
      <c r="R42" s="22">
        <f t="shared" si="1"/>
        <v>32.375764627730561</v>
      </c>
      <c r="S42" s="36">
        <f t="shared" si="2"/>
        <v>516.14165279999997</v>
      </c>
      <c r="T42" s="37">
        <v>0.8</v>
      </c>
      <c r="U42" s="22">
        <f t="shared" si="3"/>
        <v>688.24034999999992</v>
      </c>
      <c r="V42" s="22">
        <f t="shared" si="4"/>
        <v>43.063283999999996</v>
      </c>
      <c r="W42" s="22">
        <f t="shared" si="5"/>
        <v>645.17706599999997</v>
      </c>
      <c r="X42" s="154"/>
      <c r="Z42" s="154"/>
    </row>
    <row r="43" spans="1:26" s="135" customFormat="1">
      <c r="A43" s="133">
        <v>3</v>
      </c>
      <c r="B43" s="133" t="s">
        <v>173</v>
      </c>
      <c r="C43" s="133" t="s">
        <v>179</v>
      </c>
      <c r="D43" s="133" t="s">
        <v>175</v>
      </c>
      <c r="E43" s="133" t="s">
        <v>180</v>
      </c>
      <c r="F43" s="166" t="s">
        <v>175</v>
      </c>
      <c r="G43" s="166" t="s">
        <v>175</v>
      </c>
      <c r="H43" s="165">
        <v>338</v>
      </c>
      <c r="I43" s="165">
        <v>90</v>
      </c>
      <c r="J43" s="166">
        <v>1.59</v>
      </c>
      <c r="K43" s="168">
        <v>8760</v>
      </c>
      <c r="L43" s="133" t="s">
        <v>177</v>
      </c>
      <c r="M43" s="166">
        <v>776.7</v>
      </c>
      <c r="N43" s="132">
        <v>51.05</v>
      </c>
      <c r="O43" s="134">
        <v>117</v>
      </c>
      <c r="P43" s="41">
        <f t="shared" si="0"/>
        <v>108.18188280000001</v>
      </c>
      <c r="Q43" s="21">
        <v>429.72224923629045</v>
      </c>
      <c r="R43" s="22">
        <f t="shared" si="1"/>
        <v>51.020023721276885</v>
      </c>
      <c r="S43" s="36">
        <f t="shared" si="2"/>
        <v>101.0714346</v>
      </c>
      <c r="T43" s="37">
        <v>0.8</v>
      </c>
      <c r="U43" s="22">
        <f t="shared" si="3"/>
        <v>135.22735349999999</v>
      </c>
      <c r="V43" s="22">
        <f t="shared" si="4"/>
        <v>8.8880602500000006</v>
      </c>
      <c r="W43" s="22">
        <f t="shared" si="5"/>
        <v>126.33929325000004</v>
      </c>
      <c r="X43" s="154"/>
      <c r="Z43" s="154"/>
    </row>
    <row r="44" spans="1:26" s="135" customFormat="1">
      <c r="A44" s="133">
        <v>9</v>
      </c>
      <c r="B44" s="133" t="s">
        <v>173</v>
      </c>
      <c r="C44" s="133" t="s">
        <v>186</v>
      </c>
      <c r="D44" s="133" t="s">
        <v>175</v>
      </c>
      <c r="E44" s="133" t="s">
        <v>180</v>
      </c>
      <c r="F44" s="166" t="s">
        <v>175</v>
      </c>
      <c r="G44" s="166" t="s">
        <v>175</v>
      </c>
      <c r="H44" s="165">
        <v>338</v>
      </c>
      <c r="I44" s="165">
        <v>90</v>
      </c>
      <c r="J44" s="166">
        <v>1.59</v>
      </c>
      <c r="K44" s="168">
        <v>8760</v>
      </c>
      <c r="L44" s="133" t="s">
        <v>177</v>
      </c>
      <c r="M44" s="166">
        <v>776.7</v>
      </c>
      <c r="N44" s="132">
        <v>51.05</v>
      </c>
      <c r="O44" s="134">
        <v>117</v>
      </c>
      <c r="P44" s="41">
        <f t="shared" si="0"/>
        <v>108.18188280000001</v>
      </c>
      <c r="Q44" s="21">
        <v>429.72224923629045</v>
      </c>
      <c r="R44" s="22">
        <f t="shared" si="1"/>
        <v>51.020023721276885</v>
      </c>
      <c r="S44" s="36">
        <f t="shared" si="2"/>
        <v>101.0714346</v>
      </c>
      <c r="T44" s="37">
        <v>0.8</v>
      </c>
      <c r="U44" s="22">
        <f t="shared" si="3"/>
        <v>135.22735349999999</v>
      </c>
      <c r="V44" s="22">
        <f t="shared" si="4"/>
        <v>8.8880602500000006</v>
      </c>
      <c r="W44" s="22">
        <f t="shared" si="5"/>
        <v>126.33929325000004</v>
      </c>
      <c r="X44" s="154"/>
      <c r="Z44" s="154"/>
    </row>
    <row r="45" spans="1:26" s="135" customFormat="1">
      <c r="A45" s="133">
        <v>17</v>
      </c>
      <c r="B45" s="133" t="s">
        <v>173</v>
      </c>
      <c r="C45" s="133" t="s">
        <v>200</v>
      </c>
      <c r="D45" s="133" t="s">
        <v>175</v>
      </c>
      <c r="E45" s="133" t="s">
        <v>180</v>
      </c>
      <c r="F45" s="166" t="s">
        <v>175</v>
      </c>
      <c r="G45" s="166" t="s">
        <v>175</v>
      </c>
      <c r="H45" s="165">
        <v>338</v>
      </c>
      <c r="I45" s="165">
        <v>90</v>
      </c>
      <c r="J45" s="166">
        <v>1.59</v>
      </c>
      <c r="K45" s="168">
        <v>8760</v>
      </c>
      <c r="L45" s="133" t="s">
        <v>177</v>
      </c>
      <c r="M45" s="166">
        <v>776.7</v>
      </c>
      <c r="N45" s="132">
        <v>51.05</v>
      </c>
      <c r="O45" s="134">
        <v>117</v>
      </c>
      <c r="P45" s="41">
        <f t="shared" si="0"/>
        <v>108.18188280000001</v>
      </c>
      <c r="Q45" s="21">
        <v>429.72224923629045</v>
      </c>
      <c r="R45" s="22">
        <f t="shared" si="1"/>
        <v>51.020023721276885</v>
      </c>
      <c r="S45" s="36">
        <f t="shared" si="2"/>
        <v>101.0714346</v>
      </c>
      <c r="T45" s="37">
        <v>0.8</v>
      </c>
      <c r="U45" s="22">
        <f t="shared" si="3"/>
        <v>135.22735349999999</v>
      </c>
      <c r="V45" s="22">
        <f t="shared" si="4"/>
        <v>8.8880602500000006</v>
      </c>
      <c r="W45" s="22">
        <f t="shared" si="5"/>
        <v>126.33929325000004</v>
      </c>
      <c r="X45" s="154"/>
      <c r="Z45" s="154"/>
    </row>
    <row r="46" spans="1:26" s="135" customFormat="1">
      <c r="A46" s="133">
        <v>18</v>
      </c>
      <c r="B46" s="133" t="s">
        <v>173</v>
      </c>
      <c r="C46" s="133" t="s">
        <v>201</v>
      </c>
      <c r="D46" s="133" t="s">
        <v>175</v>
      </c>
      <c r="E46" s="133" t="s">
        <v>180</v>
      </c>
      <c r="F46" s="166" t="s">
        <v>175</v>
      </c>
      <c r="G46" s="166" t="s">
        <v>175</v>
      </c>
      <c r="H46" s="165">
        <v>338</v>
      </c>
      <c r="I46" s="165">
        <v>90</v>
      </c>
      <c r="J46" s="166">
        <v>1.59</v>
      </c>
      <c r="K46" s="168">
        <v>8760</v>
      </c>
      <c r="L46" s="133" t="s">
        <v>177</v>
      </c>
      <c r="M46" s="166">
        <v>776.7</v>
      </c>
      <c r="N46" s="132">
        <v>51.05</v>
      </c>
      <c r="O46" s="134">
        <v>117</v>
      </c>
      <c r="P46" s="41">
        <f t="shared" si="0"/>
        <v>108.18188280000001</v>
      </c>
      <c r="Q46" s="21">
        <v>429.72224923629045</v>
      </c>
      <c r="R46" s="22">
        <f t="shared" si="1"/>
        <v>51.020023721276885</v>
      </c>
      <c r="S46" s="36">
        <f t="shared" si="2"/>
        <v>101.0714346</v>
      </c>
      <c r="T46" s="37">
        <v>0.8</v>
      </c>
      <c r="U46" s="22">
        <f t="shared" si="3"/>
        <v>135.22735349999999</v>
      </c>
      <c r="V46" s="22">
        <f t="shared" si="4"/>
        <v>8.8880602500000006</v>
      </c>
      <c r="W46" s="22">
        <f t="shared" si="5"/>
        <v>126.33929325000004</v>
      </c>
      <c r="X46" s="154"/>
      <c r="Z46" s="154"/>
    </row>
    <row r="47" spans="1:26" s="135" customFormat="1">
      <c r="A47" s="133">
        <v>24</v>
      </c>
      <c r="B47" s="133" t="s">
        <v>173</v>
      </c>
      <c r="C47" s="133" t="s">
        <v>210</v>
      </c>
      <c r="D47" s="133" t="s">
        <v>175</v>
      </c>
      <c r="E47" s="133" t="s">
        <v>180</v>
      </c>
      <c r="F47" s="166" t="s">
        <v>175</v>
      </c>
      <c r="G47" s="166" t="s">
        <v>175</v>
      </c>
      <c r="H47" s="165">
        <v>338</v>
      </c>
      <c r="I47" s="165">
        <v>90</v>
      </c>
      <c r="J47" s="166">
        <v>1.59</v>
      </c>
      <c r="K47" s="168">
        <v>8760</v>
      </c>
      <c r="L47" s="133" t="s">
        <v>177</v>
      </c>
      <c r="M47" s="166">
        <v>776.7</v>
      </c>
      <c r="N47" s="132">
        <v>51.05</v>
      </c>
      <c r="O47" s="134">
        <v>117</v>
      </c>
      <c r="P47" s="41">
        <f t="shared" si="0"/>
        <v>108.18188280000001</v>
      </c>
      <c r="Q47" s="21">
        <v>429.72224923629045</v>
      </c>
      <c r="R47" s="22">
        <f t="shared" si="1"/>
        <v>51.020023721276885</v>
      </c>
      <c r="S47" s="36">
        <f t="shared" si="2"/>
        <v>101.0714346</v>
      </c>
      <c r="T47" s="37">
        <v>0.8</v>
      </c>
      <c r="U47" s="22">
        <f t="shared" si="3"/>
        <v>135.22735349999999</v>
      </c>
      <c r="V47" s="22">
        <f t="shared" si="4"/>
        <v>8.8880602500000006</v>
      </c>
      <c r="W47" s="22">
        <f t="shared" si="5"/>
        <v>126.33929325000004</v>
      </c>
      <c r="X47" s="154"/>
      <c r="Z47" s="154"/>
    </row>
    <row r="48" spans="1:26" s="135" customFormat="1">
      <c r="A48" s="133">
        <v>26</v>
      </c>
      <c r="B48" s="133" t="s">
        <v>173</v>
      </c>
      <c r="C48" s="133" t="s">
        <v>212</v>
      </c>
      <c r="D48" s="133" t="s">
        <v>175</v>
      </c>
      <c r="E48" s="133" t="s">
        <v>180</v>
      </c>
      <c r="F48" s="166" t="s">
        <v>175</v>
      </c>
      <c r="G48" s="166" t="s">
        <v>175</v>
      </c>
      <c r="H48" s="165">
        <v>338</v>
      </c>
      <c r="I48" s="165">
        <v>90</v>
      </c>
      <c r="J48" s="166">
        <v>1.59</v>
      </c>
      <c r="K48" s="168">
        <v>8760</v>
      </c>
      <c r="L48" s="133" t="s">
        <v>177</v>
      </c>
      <c r="M48" s="166">
        <v>776.7</v>
      </c>
      <c r="N48" s="132">
        <v>51.05</v>
      </c>
      <c r="O48" s="134">
        <v>117</v>
      </c>
      <c r="P48" s="41">
        <f t="shared" si="0"/>
        <v>108.18188280000001</v>
      </c>
      <c r="Q48" s="21">
        <v>429.72224923629045</v>
      </c>
      <c r="R48" s="22">
        <f t="shared" si="1"/>
        <v>51.020023721276885</v>
      </c>
      <c r="S48" s="36">
        <f t="shared" si="2"/>
        <v>101.0714346</v>
      </c>
      <c r="T48" s="37">
        <v>0.8</v>
      </c>
      <c r="U48" s="22">
        <f t="shared" si="3"/>
        <v>135.22735349999999</v>
      </c>
      <c r="V48" s="22">
        <f t="shared" si="4"/>
        <v>8.8880602500000006</v>
      </c>
      <c r="W48" s="22">
        <f t="shared" si="5"/>
        <v>126.33929325000004</v>
      </c>
      <c r="X48" s="154"/>
      <c r="Z48" s="154"/>
    </row>
    <row r="49" spans="1:26" s="135" customFormat="1">
      <c r="A49" s="133">
        <v>27</v>
      </c>
      <c r="B49" s="133" t="s">
        <v>173</v>
      </c>
      <c r="C49" s="133" t="s">
        <v>213</v>
      </c>
      <c r="D49" s="133" t="s">
        <v>175</v>
      </c>
      <c r="E49" s="133" t="s">
        <v>180</v>
      </c>
      <c r="F49" s="166" t="s">
        <v>175</v>
      </c>
      <c r="G49" s="166" t="s">
        <v>175</v>
      </c>
      <c r="H49" s="165">
        <v>338</v>
      </c>
      <c r="I49" s="165">
        <v>90</v>
      </c>
      <c r="J49" s="166">
        <v>1.59</v>
      </c>
      <c r="K49" s="168">
        <v>8760</v>
      </c>
      <c r="L49" s="133" t="s">
        <v>177</v>
      </c>
      <c r="M49" s="166">
        <v>776.7</v>
      </c>
      <c r="N49" s="132">
        <v>51.05</v>
      </c>
      <c r="O49" s="134">
        <v>117</v>
      </c>
      <c r="P49" s="41">
        <f t="shared" si="0"/>
        <v>108.18188280000001</v>
      </c>
      <c r="Q49" s="21">
        <v>429.72224923629045</v>
      </c>
      <c r="R49" s="22">
        <f t="shared" si="1"/>
        <v>51.020023721276885</v>
      </c>
      <c r="S49" s="36">
        <f t="shared" si="2"/>
        <v>101.0714346</v>
      </c>
      <c r="T49" s="37">
        <v>0.8</v>
      </c>
      <c r="U49" s="22">
        <f t="shared" si="3"/>
        <v>135.22735349999999</v>
      </c>
      <c r="V49" s="22">
        <f t="shared" si="4"/>
        <v>8.8880602500000006</v>
      </c>
      <c r="W49" s="22">
        <f t="shared" si="5"/>
        <v>126.33929325000004</v>
      </c>
      <c r="X49" s="154"/>
      <c r="Z49" s="154"/>
    </row>
    <row r="50" spans="1:26" s="135" customFormat="1" ht="16" thickBot="1">
      <c r="A50" s="133">
        <v>29</v>
      </c>
      <c r="B50" s="133" t="s">
        <v>173</v>
      </c>
      <c r="C50" s="133" t="s">
        <v>214</v>
      </c>
      <c r="D50" s="133" t="s">
        <v>175</v>
      </c>
      <c r="E50" s="133" t="s">
        <v>180</v>
      </c>
      <c r="F50" s="166" t="s">
        <v>175</v>
      </c>
      <c r="G50" s="166" t="s">
        <v>175</v>
      </c>
      <c r="H50" s="165">
        <v>338</v>
      </c>
      <c r="I50" s="165">
        <v>90</v>
      </c>
      <c r="J50" s="166">
        <v>1.59</v>
      </c>
      <c r="K50" s="168">
        <v>8760</v>
      </c>
      <c r="L50" s="133" t="s">
        <v>177</v>
      </c>
      <c r="M50" s="166">
        <v>776.7</v>
      </c>
      <c r="N50" s="132">
        <v>51.05</v>
      </c>
      <c r="O50" s="134">
        <v>117</v>
      </c>
      <c r="P50" s="41">
        <f t="shared" si="0"/>
        <v>108.18188280000001</v>
      </c>
      <c r="Q50" s="21">
        <v>429.72224923629045</v>
      </c>
      <c r="R50" s="22">
        <f t="shared" si="1"/>
        <v>51.020023721276885</v>
      </c>
      <c r="S50" s="36">
        <f t="shared" si="2"/>
        <v>101.0714346</v>
      </c>
      <c r="T50" s="37">
        <v>0.8</v>
      </c>
      <c r="U50" s="22">
        <f t="shared" si="3"/>
        <v>135.22735349999999</v>
      </c>
      <c r="V50" s="22">
        <f t="shared" si="4"/>
        <v>8.8880602500000006</v>
      </c>
      <c r="W50" s="22">
        <f t="shared" si="5"/>
        <v>126.33929325000004</v>
      </c>
      <c r="X50" s="154"/>
      <c r="Z50" s="154"/>
    </row>
    <row r="51" spans="1:26" ht="16" thickBot="1">
      <c r="I51" s="119"/>
      <c r="J51" s="167"/>
      <c r="K51" s="18"/>
      <c r="L51" s="18"/>
      <c r="M51" s="18"/>
      <c r="N51" s="18"/>
      <c r="O51"/>
      <c r="P51" s="2"/>
      <c r="Q51" s="19">
        <f>SUM(Q9:Q50)</f>
        <v>29469.576567164164</v>
      </c>
      <c r="R51" s="38"/>
      <c r="S51" s="38">
        <f>SUM(S9:S50)</f>
        <v>16312.852447680012</v>
      </c>
      <c r="T51" s="38"/>
      <c r="U51" s="39">
        <f>SUM(U9:U50)</f>
        <v>21453.387167999987</v>
      </c>
      <c r="V51" s="39">
        <f>SUM(V9:V50)</f>
        <v>1062.3216083999998</v>
      </c>
      <c r="W51" s="185">
        <f>SUM(W9:W50)</f>
        <v>20391.065559599989</v>
      </c>
    </row>
    <row r="52" spans="1:26">
      <c r="M52"/>
      <c r="N52" s="2"/>
      <c r="Q52" s="1"/>
      <c r="S52"/>
      <c r="T52" s="35"/>
    </row>
    <row r="53" spans="1:26">
      <c r="B53" t="s">
        <v>24</v>
      </c>
      <c r="M53"/>
      <c r="N53" s="2"/>
      <c r="Q53" s="1"/>
      <c r="S53"/>
      <c r="T53" s="35"/>
    </row>
    <row r="54" spans="1:26">
      <c r="M54"/>
      <c r="N54" s="2"/>
      <c r="Q54" s="1"/>
      <c r="S54"/>
      <c r="T54" s="35"/>
    </row>
    <row r="55" spans="1:26">
      <c r="M55"/>
      <c r="N55" s="2"/>
      <c r="Q55" s="1"/>
      <c r="S55"/>
      <c r="T55" s="35"/>
    </row>
    <row r="59" spans="1:26" s="119" customFormat="1">
      <c r="M59" s="2"/>
      <c r="N59" s="1"/>
      <c r="O59" s="1"/>
      <c r="P59" s="1"/>
      <c r="S59" s="136"/>
    </row>
    <row r="60" spans="1:26" s="119" customFormat="1">
      <c r="M60" s="2"/>
      <c r="N60" s="1"/>
      <c r="O60" s="1"/>
      <c r="P60" s="1"/>
      <c r="S60" s="136"/>
    </row>
    <row r="61" spans="1:26" s="119" customFormat="1">
      <c r="M61" s="2"/>
      <c r="N61" s="1"/>
      <c r="O61" s="1"/>
      <c r="P61" s="1"/>
      <c r="S61" s="136"/>
    </row>
    <row r="62" spans="1:26" s="119" customFormat="1">
      <c r="M62" s="2"/>
      <c r="N62" s="1"/>
      <c r="O62" s="1"/>
      <c r="P62" s="1"/>
      <c r="S62" s="136"/>
    </row>
    <row r="64" spans="1:26" s="119" customFormat="1">
      <c r="M64" s="2"/>
      <c r="N64" s="1"/>
      <c r="O64" s="1"/>
      <c r="P64" s="1"/>
      <c r="S64" s="136"/>
    </row>
    <row r="65" spans="1:19" s="119" customFormat="1">
      <c r="M65" s="2"/>
      <c r="N65" s="1"/>
      <c r="O65" s="1"/>
      <c r="P65" s="1"/>
      <c r="S65" s="136"/>
    </row>
    <row r="66" spans="1:19" s="119" customFormat="1">
      <c r="M66" s="2"/>
      <c r="N66" s="1"/>
      <c r="O66" s="1"/>
      <c r="P66" s="1"/>
      <c r="S66" s="136"/>
    </row>
    <row r="67" spans="1:19" s="119" customFormat="1">
      <c r="M67" s="2"/>
      <c r="N67" s="1"/>
      <c r="O67" s="1"/>
      <c r="P67" s="1"/>
      <c r="S67" s="136"/>
    </row>
    <row r="69" spans="1:19" ht="19">
      <c r="A69" s="145"/>
      <c r="B69" s="146"/>
      <c r="C69" s="146"/>
      <c r="D69" s="146"/>
    </row>
    <row r="70" spans="1:19" ht="19">
      <c r="A70" s="43"/>
    </row>
  </sheetData>
  <autoFilter ref="A8:W8" xr:uid="{00000000-0009-0000-0000-000000000000}">
    <sortState ref="A9:W51">
      <sortCondition ref="E8"/>
    </sortState>
  </autoFilter>
  <sortState ref="A1:G50">
    <sortCondition ref="A1:A50"/>
  </sortState>
  <mergeCells count="8">
    <mergeCell ref="M2:N2"/>
    <mergeCell ref="F5:J5"/>
    <mergeCell ref="Q5:S5"/>
    <mergeCell ref="E7:J7"/>
    <mergeCell ref="F3:J3"/>
    <mergeCell ref="F4:J4"/>
    <mergeCell ref="F6:J6"/>
    <mergeCell ref="M5:O5"/>
  </mergeCells>
  <phoneticPr fontId="26" type="noConversion"/>
  <pageMargins left="0.7" right="0.7" top="0.75" bottom="0.75" header="0.3" footer="0.3"/>
  <pageSetup scale="29" fitToHeight="3" orientation="landscape" horizontalDpi="4294967293" verticalDpi="4294967293"/>
  <headerFooter>
    <oddHeader>&amp;L&amp;G&amp;C16 Hamilton Street
West Haven CT 06516</oddHead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Incentives!$A$1:$A$8</xm:f>
          </x14:formula1>
          <xm:sqref>Q4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36"/>
  <sheetViews>
    <sheetView workbookViewId="0">
      <selection activeCell="B23" sqref="B23"/>
    </sheetView>
  </sheetViews>
  <sheetFormatPr baseColWidth="10" defaultColWidth="11.5" defaultRowHeight="15"/>
  <cols>
    <col min="1" max="1" width="45.33203125" bestFit="1" customWidth="1"/>
    <col min="2" max="2" width="23.83203125" customWidth="1"/>
  </cols>
  <sheetData>
    <row r="2" spans="1:3" s="119" customFormat="1"/>
    <row r="3" spans="1:3" s="119" customFormat="1"/>
    <row r="4" spans="1:3" s="119" customFormat="1" ht="31">
      <c r="A4" s="148" t="s">
        <v>126</v>
      </c>
    </row>
    <row r="5" spans="1:3" s="119" customFormat="1"/>
    <row r="6" spans="1:3" ht="24">
      <c r="A6" s="143" t="s">
        <v>17</v>
      </c>
      <c r="B6" s="144" t="str">
        <f>'Heat Loss'!B2</f>
        <v xml:space="preserve"> Sample job </v>
      </c>
    </row>
    <row r="7" spans="1:3" s="119" customFormat="1" ht="24">
      <c r="A7" s="143"/>
      <c r="B7" s="144"/>
    </row>
    <row r="8" spans="1:3" s="119" customFormat="1" ht="24">
      <c r="A8" s="143" t="s">
        <v>18</v>
      </c>
      <c r="B8" s="155">
        <f>'Heat Loss'!B3</f>
        <v>14346</v>
      </c>
    </row>
    <row r="9" spans="1:3" s="119" customFormat="1" ht="24">
      <c r="A9" s="143"/>
      <c r="B9" s="144"/>
    </row>
    <row r="10" spans="1:3" s="119" customFormat="1" ht="24">
      <c r="A10" s="143" t="s">
        <v>16</v>
      </c>
      <c r="B10" s="151">
        <f ca="1">'Heat Loss'!B4</f>
        <v>43446</v>
      </c>
    </row>
    <row r="11" spans="1:3" ht="24">
      <c r="B11" s="143"/>
    </row>
    <row r="12" spans="1:3" ht="24">
      <c r="A12" s="143" t="s">
        <v>130</v>
      </c>
      <c r="B12" s="144">
        <f>'Heat Loss'!K4</f>
        <v>29469.576567164164</v>
      </c>
      <c r="C12" s="143"/>
    </row>
    <row r="13" spans="1:3" ht="24">
      <c r="A13" s="143"/>
      <c r="B13" s="144"/>
      <c r="C13" s="143"/>
    </row>
    <row r="14" spans="1:3" s="119" customFormat="1" ht="24" hidden="1">
      <c r="A14" s="143" t="s">
        <v>140</v>
      </c>
      <c r="B14" s="144">
        <f>'Heat Loss'!K3</f>
        <v>16312.852447680012</v>
      </c>
      <c r="C14" s="143"/>
    </row>
    <row r="15" spans="1:3" s="119" customFormat="1" ht="24" hidden="1">
      <c r="A15" s="143" t="s">
        <v>141</v>
      </c>
      <c r="B15" s="163">
        <f>'Steam Trap Losses'!P31</f>
        <v>0</v>
      </c>
      <c r="C15" s="143"/>
    </row>
    <row r="16" spans="1:3" ht="24">
      <c r="A16" s="143" t="s">
        <v>52</v>
      </c>
      <c r="B16" s="144">
        <f>B15+B14</f>
        <v>16312.852447680012</v>
      </c>
      <c r="C16" s="143"/>
    </row>
    <row r="17" spans="1:3" ht="24">
      <c r="A17" s="143"/>
      <c r="B17" s="144"/>
      <c r="C17" s="143"/>
    </row>
    <row r="18" spans="1:3" s="119" customFormat="1" ht="24">
      <c r="A18" s="143" t="s">
        <v>125</v>
      </c>
      <c r="B18" s="144">
        <f>'Heat Loss'!T5</f>
        <v>14734.788283582082</v>
      </c>
      <c r="C18" s="143"/>
    </row>
    <row r="19" spans="1:3" s="119" customFormat="1" ht="24">
      <c r="A19" s="143"/>
      <c r="B19" s="144"/>
      <c r="C19" s="143"/>
    </row>
    <row r="20" spans="1:3" s="119" customFormat="1" ht="27">
      <c r="A20" s="143" t="s">
        <v>127</v>
      </c>
      <c r="B20" s="147">
        <f>(B12-B18)/(B16)*12</f>
        <v>10.839150293922488</v>
      </c>
      <c r="C20" s="143" t="s">
        <v>129</v>
      </c>
    </row>
    <row r="21" spans="1:3" s="119" customFormat="1" ht="24">
      <c r="A21"/>
      <c r="B21"/>
      <c r="C21" s="143" t="s">
        <v>168</v>
      </c>
    </row>
    <row r="22" spans="1:3" s="119" customFormat="1" ht="24">
      <c r="C22" s="143"/>
    </row>
    <row r="23" spans="1:3" s="119" customFormat="1" ht="24">
      <c r="A23" s="128" t="s">
        <v>10</v>
      </c>
      <c r="B23" s="194">
        <f>(B12/B16)*12</f>
        <v>21.678300587844976</v>
      </c>
      <c r="C23" s="143"/>
    </row>
    <row r="24" spans="1:3" s="119" customFormat="1" ht="24">
      <c r="A24" s="143"/>
      <c r="B24" s="144"/>
      <c r="C24" s="143"/>
    </row>
    <row r="25" spans="1:3" ht="24">
      <c r="A25" s="143" t="s">
        <v>132</v>
      </c>
      <c r="B25" s="144">
        <f>B16*5</f>
        <v>81564.262238400057</v>
      </c>
      <c r="C25" s="143"/>
    </row>
    <row r="26" spans="1:3" ht="24">
      <c r="A26" s="143"/>
      <c r="B26" s="144"/>
      <c r="C26" s="143"/>
    </row>
    <row r="27" spans="1:3" ht="24">
      <c r="A27" s="143" t="s">
        <v>128</v>
      </c>
      <c r="B27" s="144">
        <f>B16/12</f>
        <v>1359.4043706400009</v>
      </c>
      <c r="C27" s="143"/>
    </row>
    <row r="28" spans="1:3" ht="24">
      <c r="A28" s="143"/>
      <c r="B28" s="144"/>
      <c r="C28" s="143"/>
    </row>
    <row r="29" spans="1:3" s="119" customFormat="1" ht="48">
      <c r="A29" s="149" t="s">
        <v>143</v>
      </c>
      <c r="B29" s="150">
        <f>'Heat Loss'!P5</f>
        <v>109.12225560239449</v>
      </c>
      <c r="C29" s="143" t="s">
        <v>131</v>
      </c>
    </row>
    <row r="30" spans="1:3" s="119" customFormat="1" ht="24">
      <c r="A30" s="143"/>
      <c r="B30" s="144"/>
      <c r="C30" s="143"/>
    </row>
    <row r="31" spans="1:3" s="119" customFormat="1" ht="24">
      <c r="A31" s="143" t="s">
        <v>133</v>
      </c>
      <c r="B31" s="156">
        <f>'Heat Loss'!U51</f>
        <v>21453.387167999987</v>
      </c>
      <c r="C31" s="143"/>
    </row>
    <row r="32" spans="1:3" s="119" customFormat="1" ht="24">
      <c r="A32" s="143" t="s">
        <v>21</v>
      </c>
      <c r="B32" s="156">
        <f>'Heat Loss'!V51</f>
        <v>1062.3216083999998</v>
      </c>
      <c r="C32" s="143"/>
    </row>
    <row r="33" spans="1:3" s="119" customFormat="1" ht="24">
      <c r="A33" s="143" t="s">
        <v>49</v>
      </c>
      <c r="B33" s="156">
        <f>B31-B32</f>
        <v>20391.065559599985</v>
      </c>
      <c r="C33" s="143"/>
    </row>
    <row r="34" spans="1:3" s="119" customFormat="1" ht="24">
      <c r="A34" s="143"/>
      <c r="B34" s="144"/>
      <c r="C34" s="143"/>
    </row>
    <row r="35" spans="1:3" ht="24">
      <c r="C35" s="143"/>
    </row>
    <row r="36" spans="1:3" ht="24">
      <c r="A36" s="143"/>
      <c r="B36" s="143"/>
      <c r="C36" s="143"/>
    </row>
  </sheetData>
  <phoneticPr fontId="26" type="noConversion"/>
  <pageMargins left="0.75" right="0.75" top="1" bottom="1" header="0.5" footer="0.5"/>
  <pageSetup scale="67" orientation="landscape" horizontalDpi="4294967292" verticalDpi="4294967292" r:id="rId1"/>
  <headerFooter>
    <oddHeader>&amp;L&amp;"Calibri,Regular"&amp;K000000&amp;G&amp;C&amp;"Calibri,Regular"&amp;K000000ThermaXX, LLC._x000D_16 Hamilton Street_x000D_West Haven CT 06516</oddHeader>
  </headerFooter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/>
  </sheetViews>
  <sheetFormatPr baseColWidth="10" defaultColWidth="8.83203125" defaultRowHeight="15"/>
  <cols>
    <col min="1" max="1" width="23.5" customWidth="1"/>
    <col min="2" max="2" width="8.83203125" style="136"/>
    <col min="3" max="3" width="11.5" style="136" bestFit="1" customWidth="1"/>
    <col min="4" max="4" width="8.83203125" style="173"/>
    <col min="6" max="6" width="10.83203125" customWidth="1"/>
  </cols>
  <sheetData>
    <row r="1" spans="1:6">
      <c r="A1" t="s">
        <v>147</v>
      </c>
      <c r="B1" s="136">
        <v>2</v>
      </c>
      <c r="C1" s="136" t="s">
        <v>150</v>
      </c>
      <c r="D1" s="173">
        <v>0.5</v>
      </c>
      <c r="E1" s="121">
        <f>B1*'Heat Loss'!$Q$3</f>
        <v>40782.131119199978</v>
      </c>
      <c r="F1" s="136">
        <f>IF(E1&gt;D1*'Heat Loss'!$O$3,'Heat Loss'!$O$3*Incentives!D1,Incentives!B1*'Heat Loss'!$Q$3)</f>
        <v>14734.788283582082</v>
      </c>
    </row>
    <row r="2" spans="1:6">
      <c r="A2" t="s">
        <v>153</v>
      </c>
      <c r="B2" s="136">
        <v>1.5</v>
      </c>
      <c r="C2" s="136" t="s">
        <v>150</v>
      </c>
      <c r="D2" s="173">
        <v>0.5</v>
      </c>
      <c r="E2" s="121">
        <f>B2*'Heat Loss'!$Q$3</f>
        <v>30586.598339399985</v>
      </c>
      <c r="F2" s="136">
        <f>IF(E2&gt;D2*'Heat Loss'!$O$3,'Heat Loss'!$O$3*Incentives!D2,Incentives!B2*'Heat Loss'!$Q$3)</f>
        <v>14734.788283582082</v>
      </c>
    </row>
    <row r="3" spans="1:6" s="119" customFormat="1">
      <c r="A3" s="119" t="s">
        <v>154</v>
      </c>
      <c r="B3" s="136">
        <v>1.5</v>
      </c>
      <c r="C3" s="136" t="s">
        <v>150</v>
      </c>
      <c r="D3" s="173">
        <v>0.5</v>
      </c>
      <c r="E3" s="121">
        <f>B3*'Heat Loss'!$Q$3</f>
        <v>30586.598339399985</v>
      </c>
      <c r="F3" s="136">
        <f>IF(E3&gt;D3*'Heat Loss'!$O$3,'Heat Loss'!$O$3*Incentives!D3,Incentives!B3*'Heat Loss'!$Q$3)</f>
        <v>14734.788283582082</v>
      </c>
    </row>
    <row r="4" spans="1:6" s="119" customFormat="1">
      <c r="A4" s="119" t="s">
        <v>155</v>
      </c>
      <c r="B4" s="136">
        <v>1.5</v>
      </c>
      <c r="C4" s="136" t="s">
        <v>150</v>
      </c>
      <c r="D4" s="173">
        <v>0.5</v>
      </c>
      <c r="E4" s="121">
        <f>B4*'Heat Loss'!$Q$3</f>
        <v>30586.598339399985</v>
      </c>
      <c r="F4" s="136">
        <f>IF(E4&gt;D4*'Heat Loss'!$O$3,'Heat Loss'!$O$3*Incentives!D4,Incentives!B4*'Heat Loss'!$Q$3)</f>
        <v>14734.788283582082</v>
      </c>
    </row>
    <row r="5" spans="1:6" s="119" customFormat="1">
      <c r="A5" s="119" t="s">
        <v>169</v>
      </c>
      <c r="B5" s="136">
        <v>4</v>
      </c>
      <c r="C5" s="136" t="s">
        <v>151</v>
      </c>
      <c r="D5" s="173">
        <v>0.6</v>
      </c>
      <c r="E5" s="121">
        <f>B5*'Heat Loss'!R1</f>
        <v>0</v>
      </c>
      <c r="F5" s="136">
        <f>IF(E5&gt;D5*'Heat Loss'!$O$3,'Heat Loss'!$O$3*Incentives!D5,Incentives!B5*'Heat Loss'!$R$3)</f>
        <v>79111.796545489779</v>
      </c>
    </row>
    <row r="6" spans="1:6">
      <c r="A6" t="s">
        <v>170</v>
      </c>
      <c r="B6" s="136">
        <v>1.5</v>
      </c>
      <c r="C6" s="136" t="s">
        <v>150</v>
      </c>
      <c r="D6" s="173">
        <v>0.5</v>
      </c>
      <c r="E6" s="121">
        <f>B6*'Heat Loss'!$Q$3</f>
        <v>30586.598339399985</v>
      </c>
      <c r="F6" s="136">
        <f>IF(E6&gt;D6*'Heat Loss'!$O$3,'Heat Loss'!$O$3*Incentives!D6,Incentives!B6*'Heat Loss'!$Q$3)</f>
        <v>14734.788283582082</v>
      </c>
    </row>
    <row r="7" spans="1:6">
      <c r="A7" t="s">
        <v>148</v>
      </c>
      <c r="B7" s="136">
        <v>3.5</v>
      </c>
      <c r="C7" s="136" t="s">
        <v>151</v>
      </c>
      <c r="D7" s="173">
        <v>0.4</v>
      </c>
      <c r="E7" s="121">
        <f>B7*'Heat Loss'!R3</f>
        <v>69222.821977303553</v>
      </c>
      <c r="F7" s="136">
        <f>IF(E7&gt;D7*'Heat Loss'!$O$3,'Heat Loss'!$O$3*Incentives!D7,Incentives!B7*'Heat Loss'!$R$3)</f>
        <v>11787.830626865667</v>
      </c>
    </row>
    <row r="8" spans="1:6">
      <c r="A8" t="s">
        <v>149</v>
      </c>
      <c r="B8" s="136">
        <v>12</v>
      </c>
      <c r="C8" s="136" t="s">
        <v>152</v>
      </c>
      <c r="D8" s="173">
        <v>0.4</v>
      </c>
      <c r="E8" s="121">
        <f>B8*'Heat Loss'!S3</f>
        <v>23733.538963646934</v>
      </c>
      <c r="F8" s="136">
        <f>IF(E8&gt;D8*'Heat Loss'!$O$3,'Heat Loss'!$O$3*Incentives!D8,Incentives!B8*'Heat Loss'!$S$3)</f>
        <v>11787.830626865667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B4" sqref="B4"/>
    </sheetView>
  </sheetViews>
  <sheetFormatPr baseColWidth="10" defaultColWidth="11.5" defaultRowHeight="15"/>
  <cols>
    <col min="1" max="1" width="29" style="119" customWidth="1"/>
    <col min="2" max="16384" width="11.5" style="119"/>
  </cols>
  <sheetData>
    <row r="1" spans="1:2">
      <c r="A1" s="119" t="s">
        <v>161</v>
      </c>
      <c r="B1" s="119">
        <v>3650</v>
      </c>
    </row>
    <row r="2" spans="1:2">
      <c r="A2" s="119" t="s">
        <v>162</v>
      </c>
      <c r="B2" s="119">
        <v>1800</v>
      </c>
    </row>
    <row r="3" spans="1:2">
      <c r="A3" s="119" t="s">
        <v>160</v>
      </c>
      <c r="B3" s="119">
        <v>8760</v>
      </c>
    </row>
    <row r="4" spans="1:2">
      <c r="A4" s="119" t="s">
        <v>163</v>
      </c>
      <c r="B4" s="119">
        <v>3650</v>
      </c>
    </row>
    <row r="5" spans="1:2">
      <c r="A5" s="119" t="s">
        <v>164</v>
      </c>
      <c r="B5" s="119">
        <v>1800</v>
      </c>
    </row>
    <row r="6" spans="1:2">
      <c r="A6" s="119" t="s">
        <v>165</v>
      </c>
      <c r="B6" s="119">
        <f>B5+B4</f>
        <v>5450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U37"/>
  <sheetViews>
    <sheetView topLeftCell="B1" zoomScale="150" zoomScaleNormal="150" zoomScalePageLayoutView="150" workbookViewId="0">
      <selection activeCell="L5" sqref="L5"/>
    </sheetView>
  </sheetViews>
  <sheetFormatPr baseColWidth="10" defaultColWidth="8.83203125" defaultRowHeight="15"/>
  <cols>
    <col min="1" max="1" width="0" style="16" hidden="1" customWidth="1"/>
    <col min="2" max="2" width="8.83203125" style="16"/>
    <col min="3" max="3" width="0" style="16" hidden="1" customWidth="1"/>
    <col min="4" max="4" width="8.83203125" style="16"/>
    <col min="5" max="5" width="11.1640625" style="16" customWidth="1"/>
    <col min="6" max="6" width="11.33203125" style="16" customWidth="1"/>
    <col min="7" max="7" width="9.83203125" style="16" hidden="1" customWidth="1"/>
    <col min="8" max="11" width="8.83203125" style="16"/>
    <col min="12" max="12" width="9.83203125" style="16" bestFit="1" customWidth="1"/>
    <col min="13" max="13" width="8.83203125" style="16"/>
    <col min="14" max="14" width="9.83203125" style="16" bestFit="1" customWidth="1"/>
    <col min="15" max="20" width="9.1640625" style="16" hidden="1" customWidth="1"/>
    <col min="21" max="16384" width="8.83203125" style="16"/>
  </cols>
  <sheetData>
    <row r="1" spans="1:21" ht="16" thickBot="1"/>
    <row r="2" spans="1:21" ht="30.75" customHeight="1" thickBot="1">
      <c r="J2" s="209" t="s">
        <v>25</v>
      </c>
      <c r="K2" s="210"/>
      <c r="L2" s="34">
        <f>SUM(L5:L34)</f>
        <v>0</v>
      </c>
      <c r="M2" s="33">
        <f>SUM(M5:M13)</f>
        <v>0</v>
      </c>
      <c r="N2" s="33" t="e">
        <f>SUM(N5:N13)</f>
        <v>#VALUE!</v>
      </c>
      <c r="U2" s="32" t="e">
        <f>N2-M2</f>
        <v>#VALUE!</v>
      </c>
    </row>
    <row r="3" spans="1:21">
      <c r="D3" s="24" t="s">
        <v>26</v>
      </c>
      <c r="P3" s="16" t="s">
        <v>27</v>
      </c>
    </row>
    <row r="4" spans="1:21" ht="46">
      <c r="A4" s="16" t="s">
        <v>28</v>
      </c>
      <c r="C4" s="25" t="s">
        <v>28</v>
      </c>
      <c r="D4" s="3" t="s">
        <v>29</v>
      </c>
      <c r="E4" s="3" t="s">
        <v>30</v>
      </c>
      <c r="F4" s="3" t="s">
        <v>31</v>
      </c>
      <c r="G4" s="26" t="s">
        <v>32</v>
      </c>
      <c r="H4" s="3" t="s">
        <v>33</v>
      </c>
      <c r="I4" s="4" t="s">
        <v>34</v>
      </c>
      <c r="J4" s="4" t="s">
        <v>35</v>
      </c>
      <c r="K4" s="3" t="s">
        <v>36</v>
      </c>
      <c r="L4" s="3" t="s">
        <v>37</v>
      </c>
      <c r="M4" s="3" t="s">
        <v>38</v>
      </c>
      <c r="N4" s="3" t="s">
        <v>39</v>
      </c>
      <c r="O4" s="27" t="s">
        <v>40</v>
      </c>
      <c r="P4" s="27">
        <v>0</v>
      </c>
      <c r="Q4" s="27">
        <v>0.5</v>
      </c>
      <c r="R4" s="16">
        <v>1</v>
      </c>
      <c r="S4" s="16">
        <v>1.5</v>
      </c>
      <c r="T4" s="16">
        <v>2</v>
      </c>
    </row>
    <row r="5" spans="1:21">
      <c r="A5" s="16" t="s">
        <v>41</v>
      </c>
      <c r="C5" s="16" t="s">
        <v>41</v>
      </c>
      <c r="D5" s="28"/>
      <c r="E5" s="28"/>
      <c r="F5" s="28"/>
      <c r="G5" s="28"/>
      <c r="H5" s="28"/>
      <c r="I5" s="29" t="str">
        <f t="shared" ref="I5:I13" si="0">IFERROR(IF(E5=0,VLOOKUP(D5,$O$5:$T$22,2,FALSE),IF(E5=0.5,VLOOKUP(D5,$O$5:$T$22,3,FALSE),IF(E5=1,VLOOKUP(D5,$O$5:$T$22,4,FALSE),IF(E5=1.5,VLOOKUP(D5,$O$5:$T$22,5,FALSE),IF(E5=2,VLOOKUP(D5,$O$5:$T$22,6,FALSE)))))),"")</f>
        <v/>
      </c>
      <c r="J5" s="29" t="str">
        <f t="shared" ref="J5:J13" si="1">IFERROR(IF(F5=0,VLOOKUP(D5,$O$5:$T$22,2,FALSE),IF(F5=0.5,VLOOKUP(D5,$O$5:$T$22,3,FALSE),IF(F5=1,VLOOKUP(D5,$O$5:$T$22,4,FALSE),IF(F5=1.5,VLOOKUP(D5,$O$5:$T$22,5,FALSE),IF(F5=2,VLOOKUP(D5,$O$5:$T$22,6,FALSE)))))),"")</f>
        <v/>
      </c>
      <c r="K5" s="28"/>
      <c r="L5" s="30" t="str">
        <f t="shared" ref="L5:L13" si="2">IFERROR(H5*(I5-J5)/(0.75*100000)*130*K5,"")</f>
        <v/>
      </c>
      <c r="M5" s="30" t="str">
        <f>IFERROR(H5*(J5)/(0.75*100000)*130*K5,"")</f>
        <v/>
      </c>
      <c r="N5" s="30" t="e">
        <f>M5+L5</f>
        <v>#VALUE!</v>
      </c>
      <c r="O5" s="27">
        <v>0.75</v>
      </c>
      <c r="P5" s="27">
        <v>0.78</v>
      </c>
      <c r="Q5" s="2">
        <v>0.2</v>
      </c>
      <c r="R5" s="27">
        <v>0.12</v>
      </c>
      <c r="S5" s="31">
        <v>0.1</v>
      </c>
      <c r="T5" s="27">
        <v>0.08</v>
      </c>
    </row>
    <row r="6" spans="1:21">
      <c r="A6" s="16" t="s">
        <v>42</v>
      </c>
      <c r="D6" s="28"/>
      <c r="E6" s="28"/>
      <c r="F6" s="28"/>
      <c r="G6" s="28"/>
      <c r="H6" s="28"/>
      <c r="I6" s="29" t="str">
        <f t="shared" si="0"/>
        <v/>
      </c>
      <c r="J6" s="29" t="str">
        <f t="shared" si="1"/>
        <v/>
      </c>
      <c r="K6" s="28"/>
      <c r="L6" s="30" t="str">
        <f t="shared" si="2"/>
        <v/>
      </c>
      <c r="M6" s="30" t="str">
        <f t="shared" ref="M6:M13" si="3">IFERROR(H6*(J6)/(0.75*100000)*130*K6,"")</f>
        <v/>
      </c>
      <c r="N6" s="30" t="e">
        <f t="shared" ref="N6:N13" si="4">M6+L6</f>
        <v>#VALUE!</v>
      </c>
      <c r="O6" s="27">
        <v>1</v>
      </c>
      <c r="P6" s="27">
        <v>0.95</v>
      </c>
      <c r="Q6" s="16">
        <v>0.23</v>
      </c>
      <c r="R6" s="27">
        <v>0.14000000000000001</v>
      </c>
      <c r="S6" s="27">
        <v>0.11</v>
      </c>
      <c r="T6" s="27">
        <v>0.09</v>
      </c>
    </row>
    <row r="7" spans="1:21">
      <c r="D7" s="28"/>
      <c r="E7" s="28"/>
      <c r="F7" s="28"/>
      <c r="G7" s="28"/>
      <c r="H7" s="28"/>
      <c r="I7" s="29" t="str">
        <f t="shared" si="0"/>
        <v/>
      </c>
      <c r="J7" s="29" t="str">
        <f t="shared" si="1"/>
        <v/>
      </c>
      <c r="K7" s="28"/>
      <c r="L7" s="30" t="str">
        <f t="shared" si="2"/>
        <v/>
      </c>
      <c r="M7" s="30" t="str">
        <f t="shared" si="3"/>
        <v/>
      </c>
      <c r="N7" s="30" t="e">
        <f t="shared" si="4"/>
        <v>#VALUE!</v>
      </c>
      <c r="O7" s="27">
        <v>1.25</v>
      </c>
      <c r="P7" s="27">
        <v>1.18</v>
      </c>
      <c r="Q7" s="16">
        <v>0.28000000000000003</v>
      </c>
      <c r="R7" s="27">
        <v>0.17</v>
      </c>
      <c r="S7" s="27">
        <v>0.13</v>
      </c>
      <c r="T7" s="27">
        <v>0.11</v>
      </c>
    </row>
    <row r="8" spans="1:21">
      <c r="A8" s="16" t="s">
        <v>43</v>
      </c>
      <c r="D8" s="28"/>
      <c r="E8" s="28"/>
      <c r="F8" s="28"/>
      <c r="G8" s="28"/>
      <c r="H8" s="28"/>
      <c r="I8" s="29" t="str">
        <f t="shared" si="0"/>
        <v/>
      </c>
      <c r="J8" s="29" t="str">
        <f t="shared" si="1"/>
        <v/>
      </c>
      <c r="K8" s="28"/>
      <c r="L8" s="30" t="str">
        <f t="shared" si="2"/>
        <v/>
      </c>
      <c r="M8" s="30" t="str">
        <f t="shared" si="3"/>
        <v/>
      </c>
      <c r="N8" s="30" t="e">
        <f t="shared" si="4"/>
        <v>#VALUE!</v>
      </c>
      <c r="O8" s="27">
        <v>1.5</v>
      </c>
      <c r="P8" s="27">
        <v>1.33</v>
      </c>
      <c r="Q8" s="16">
        <v>0.31</v>
      </c>
      <c r="R8" s="27">
        <v>0.18</v>
      </c>
      <c r="S8" s="27">
        <v>0.14000000000000001</v>
      </c>
      <c r="T8" s="27">
        <v>0.12</v>
      </c>
    </row>
    <row r="9" spans="1:21">
      <c r="A9" s="27">
        <v>0.75</v>
      </c>
      <c r="D9" s="28"/>
      <c r="E9" s="28"/>
      <c r="F9" s="28"/>
      <c r="G9" s="28"/>
      <c r="H9" s="28"/>
      <c r="I9" s="29" t="str">
        <f t="shared" si="0"/>
        <v/>
      </c>
      <c r="J9" s="29" t="str">
        <f t="shared" si="1"/>
        <v/>
      </c>
      <c r="K9" s="28"/>
      <c r="L9" s="30" t="str">
        <f t="shared" si="2"/>
        <v/>
      </c>
      <c r="M9" s="30" t="str">
        <f t="shared" si="3"/>
        <v/>
      </c>
      <c r="N9" s="30" t="e">
        <f t="shared" si="4"/>
        <v>#VALUE!</v>
      </c>
      <c r="O9" s="27">
        <v>2</v>
      </c>
      <c r="P9" s="27">
        <v>1.63</v>
      </c>
      <c r="Q9" s="16">
        <v>0.37</v>
      </c>
      <c r="R9" s="27">
        <v>0.21</v>
      </c>
      <c r="S9" s="27">
        <v>0.16</v>
      </c>
      <c r="T9" s="27">
        <v>0.13</v>
      </c>
    </row>
    <row r="10" spans="1:21">
      <c r="A10" s="27">
        <v>1</v>
      </c>
      <c r="D10" s="28"/>
      <c r="E10" s="28"/>
      <c r="F10" s="28"/>
      <c r="G10" s="28"/>
      <c r="H10" s="28"/>
      <c r="I10" s="29" t="str">
        <f t="shared" si="0"/>
        <v/>
      </c>
      <c r="J10" s="29" t="str">
        <f t="shared" si="1"/>
        <v/>
      </c>
      <c r="K10" s="28"/>
      <c r="L10" s="30" t="str">
        <f t="shared" si="2"/>
        <v/>
      </c>
      <c r="M10" s="30" t="str">
        <f t="shared" si="3"/>
        <v/>
      </c>
      <c r="N10" s="30" t="e">
        <f t="shared" si="4"/>
        <v>#VALUE!</v>
      </c>
      <c r="O10" s="27">
        <v>2.5</v>
      </c>
      <c r="P10" s="27">
        <v>1.94</v>
      </c>
      <c r="Q10" s="16">
        <v>0.44</v>
      </c>
      <c r="R10" s="27">
        <v>0.25</v>
      </c>
      <c r="S10" s="27">
        <v>0.18</v>
      </c>
      <c r="T10" s="27">
        <v>0.15</v>
      </c>
    </row>
    <row r="11" spans="1:21">
      <c r="A11" s="27">
        <v>1.25</v>
      </c>
      <c r="D11" s="28"/>
      <c r="E11" s="28"/>
      <c r="F11" s="28"/>
      <c r="G11" s="28"/>
      <c r="H11" s="28"/>
      <c r="I11" s="29" t="str">
        <f t="shared" si="0"/>
        <v/>
      </c>
      <c r="J11" s="29" t="str">
        <f t="shared" si="1"/>
        <v/>
      </c>
      <c r="K11" s="28"/>
      <c r="L11" s="30" t="str">
        <f t="shared" si="2"/>
        <v/>
      </c>
      <c r="M11" s="30" t="str">
        <f t="shared" si="3"/>
        <v/>
      </c>
      <c r="N11" s="30" t="e">
        <f t="shared" si="4"/>
        <v>#VALUE!</v>
      </c>
      <c r="O11" s="27">
        <v>3</v>
      </c>
      <c r="P11" s="27">
        <v>2.3199999999999998</v>
      </c>
      <c r="Q11" s="16">
        <v>0.52</v>
      </c>
      <c r="R11" s="27">
        <v>0.28999999999999998</v>
      </c>
      <c r="S11" s="27">
        <v>0.21</v>
      </c>
      <c r="T11" s="27">
        <v>0.17</v>
      </c>
    </row>
    <row r="12" spans="1:21">
      <c r="A12" s="27">
        <v>1.5</v>
      </c>
      <c r="D12" s="28"/>
      <c r="E12" s="28"/>
      <c r="F12" s="28"/>
      <c r="G12" s="28"/>
      <c r="H12" s="28"/>
      <c r="I12" s="29" t="str">
        <f t="shared" si="0"/>
        <v/>
      </c>
      <c r="J12" s="29" t="str">
        <f t="shared" si="1"/>
        <v/>
      </c>
      <c r="K12" s="28"/>
      <c r="L12" s="30" t="str">
        <f t="shared" si="2"/>
        <v/>
      </c>
      <c r="M12" s="30" t="str">
        <f t="shared" si="3"/>
        <v/>
      </c>
      <c r="N12" s="30" t="e">
        <f t="shared" si="4"/>
        <v>#VALUE!</v>
      </c>
      <c r="O12" s="27">
        <v>4</v>
      </c>
      <c r="P12" s="27">
        <v>2.92</v>
      </c>
      <c r="Q12" s="16">
        <v>0.65</v>
      </c>
      <c r="R12" s="27">
        <v>0.36</v>
      </c>
      <c r="S12" s="27">
        <v>0.26</v>
      </c>
      <c r="T12" s="27">
        <v>0.21</v>
      </c>
    </row>
    <row r="13" spans="1:21">
      <c r="A13" s="27">
        <v>2</v>
      </c>
      <c r="D13" s="28"/>
      <c r="E13" s="28"/>
      <c r="F13" s="28"/>
      <c r="G13" s="28"/>
      <c r="H13" s="28"/>
      <c r="I13" s="29" t="str">
        <f t="shared" si="0"/>
        <v/>
      </c>
      <c r="J13" s="29" t="str">
        <f t="shared" si="1"/>
        <v/>
      </c>
      <c r="K13" s="28"/>
      <c r="L13" s="30" t="str">
        <f t="shared" si="2"/>
        <v/>
      </c>
      <c r="M13" s="30" t="str">
        <f t="shared" si="3"/>
        <v/>
      </c>
      <c r="N13" s="30" t="e">
        <f t="shared" si="4"/>
        <v>#VALUE!</v>
      </c>
      <c r="O13" s="27">
        <v>5</v>
      </c>
      <c r="P13" s="2">
        <f>ROUND(0.6557*O13+0.3199,2)</f>
        <v>3.6</v>
      </c>
      <c r="Q13" s="2">
        <f>ROUND(0.1386*O13+0.0979,2)</f>
        <v>0.79</v>
      </c>
      <c r="R13" s="31">
        <f>ROUND(0.0728*O13+0.0695,2)</f>
        <v>0.43</v>
      </c>
      <c r="S13" s="2">
        <f>ROUND(0.0484*O13+0.0644,2)</f>
        <v>0.31</v>
      </c>
      <c r="T13" s="2">
        <f>ROUND(0.0386*O13+0.0554,2)</f>
        <v>0.25</v>
      </c>
    </row>
    <row r="14" spans="1:21">
      <c r="A14" s="27">
        <v>2.5</v>
      </c>
      <c r="D14" s="28"/>
      <c r="E14" s="28"/>
      <c r="F14" s="28"/>
      <c r="G14" s="28"/>
      <c r="H14" s="28"/>
      <c r="I14" s="29" t="str">
        <f t="shared" ref="I14:I34" si="5">IFERROR(IF(E14=0,VLOOKUP(D14,$O$5:$T$22,2,FALSE),IF(E14=0.5,VLOOKUP(D14,$O$5:$T$22,3,FALSE),IF(E14=1,VLOOKUP(D14,$O$5:$T$22,4,FALSE),IF(E14=1.5,VLOOKUP(D14,$O$5:$T$22,5,FALSE),IF(E14=2,VLOOKUP(D14,$O$5:$T$22,6,FALSE)))))),"")</f>
        <v/>
      </c>
      <c r="J14" s="29" t="str">
        <f t="shared" ref="J14:J34" si="6">IFERROR(IF(F14=0,VLOOKUP(D14,$O$5:$T$22,2,FALSE),IF(F14=0.5,VLOOKUP(D14,$O$5:$T$22,3,FALSE),IF(F14=1,VLOOKUP(D14,$O$5:$T$22,4,FALSE),IF(F14=1.5,VLOOKUP(D14,$O$5:$T$22,5,FALSE),IF(F14=2,VLOOKUP(D14,$O$5:$T$22,6,FALSE)))))),"")</f>
        <v/>
      </c>
      <c r="K14" s="28"/>
      <c r="L14" s="30" t="str">
        <f t="shared" ref="L14:L34" si="7">IFERROR(H14*(I14-J14)/(0.75*100000)*130*K14,"")</f>
        <v/>
      </c>
      <c r="O14" s="27">
        <v>6</v>
      </c>
      <c r="P14" s="2">
        <f t="shared" ref="P14:P22" si="8">ROUND(0.6557*O14+0.3199,2)</f>
        <v>4.25</v>
      </c>
      <c r="Q14" s="2">
        <f t="shared" ref="Q14:Q22" si="9">ROUND(0.1386*O14+0.0979,2)</f>
        <v>0.93</v>
      </c>
      <c r="R14" s="31">
        <f t="shared" ref="R14:R22" si="10">ROUND(0.0728*O14+0.0695,2)</f>
        <v>0.51</v>
      </c>
      <c r="S14" s="2">
        <f t="shared" ref="S14:S22" si="11">ROUND(0.0484*O14+0.0644,2)</f>
        <v>0.35</v>
      </c>
      <c r="T14" s="2">
        <f t="shared" ref="T14:T22" si="12">ROUND(0.0386*O14+0.0554,2)</f>
        <v>0.28999999999999998</v>
      </c>
    </row>
    <row r="15" spans="1:21">
      <c r="A15" s="27">
        <v>3</v>
      </c>
      <c r="D15" s="28"/>
      <c r="E15" s="28"/>
      <c r="F15" s="28"/>
      <c r="G15" s="28"/>
      <c r="H15" s="28"/>
      <c r="I15" s="29" t="str">
        <f t="shared" si="5"/>
        <v/>
      </c>
      <c r="J15" s="29" t="str">
        <f t="shared" si="6"/>
        <v/>
      </c>
      <c r="K15" s="28"/>
      <c r="L15" s="30" t="str">
        <f t="shared" si="7"/>
        <v/>
      </c>
      <c r="O15" s="27">
        <v>7</v>
      </c>
      <c r="P15" s="2">
        <f t="shared" si="8"/>
        <v>4.91</v>
      </c>
      <c r="Q15" s="2">
        <f t="shared" si="9"/>
        <v>1.07</v>
      </c>
      <c r="R15" s="31">
        <f t="shared" si="10"/>
        <v>0.57999999999999996</v>
      </c>
      <c r="S15" s="2">
        <f t="shared" si="11"/>
        <v>0.4</v>
      </c>
      <c r="T15" s="2">
        <f t="shared" si="12"/>
        <v>0.33</v>
      </c>
    </row>
    <row r="16" spans="1:21">
      <c r="A16" s="27">
        <v>4</v>
      </c>
      <c r="D16" s="28"/>
      <c r="E16" s="28"/>
      <c r="F16" s="28"/>
      <c r="G16" s="28"/>
      <c r="H16" s="28"/>
      <c r="I16" s="29" t="str">
        <f t="shared" si="5"/>
        <v/>
      </c>
      <c r="J16" s="29" t="str">
        <f t="shared" si="6"/>
        <v/>
      </c>
      <c r="K16" s="28"/>
      <c r="L16" s="30" t="str">
        <f t="shared" si="7"/>
        <v/>
      </c>
      <c r="O16" s="27">
        <v>8</v>
      </c>
      <c r="P16" s="2">
        <f t="shared" si="8"/>
        <v>5.57</v>
      </c>
      <c r="Q16" s="2">
        <f t="shared" si="9"/>
        <v>1.21</v>
      </c>
      <c r="R16" s="31">
        <f t="shared" si="10"/>
        <v>0.65</v>
      </c>
      <c r="S16" s="2">
        <f t="shared" si="11"/>
        <v>0.45</v>
      </c>
      <c r="T16" s="2">
        <f t="shared" si="12"/>
        <v>0.36</v>
      </c>
    </row>
    <row r="17" spans="1:20">
      <c r="A17" s="27">
        <v>5</v>
      </c>
      <c r="D17" s="28"/>
      <c r="E17" s="28"/>
      <c r="F17" s="28"/>
      <c r="G17" s="28"/>
      <c r="H17" s="28"/>
      <c r="I17" s="29" t="str">
        <f t="shared" si="5"/>
        <v/>
      </c>
      <c r="J17" s="29" t="str">
        <f t="shared" si="6"/>
        <v/>
      </c>
      <c r="K17" s="28"/>
      <c r="L17" s="30" t="str">
        <f t="shared" si="7"/>
        <v/>
      </c>
      <c r="O17" s="27">
        <v>9</v>
      </c>
      <c r="P17" s="2">
        <f t="shared" si="8"/>
        <v>6.22</v>
      </c>
      <c r="Q17" s="2">
        <f t="shared" si="9"/>
        <v>1.35</v>
      </c>
      <c r="R17" s="31">
        <f t="shared" si="10"/>
        <v>0.72</v>
      </c>
      <c r="S17" s="2">
        <f t="shared" si="11"/>
        <v>0.5</v>
      </c>
      <c r="T17" s="2">
        <f t="shared" si="12"/>
        <v>0.4</v>
      </c>
    </row>
    <row r="18" spans="1:20">
      <c r="A18" s="27">
        <v>6</v>
      </c>
      <c r="D18" s="28"/>
      <c r="E18" s="28"/>
      <c r="F18" s="28"/>
      <c r="G18" s="28"/>
      <c r="H18" s="28"/>
      <c r="I18" s="29" t="str">
        <f t="shared" si="5"/>
        <v/>
      </c>
      <c r="J18" s="29" t="str">
        <f t="shared" si="6"/>
        <v/>
      </c>
      <c r="K18" s="28"/>
      <c r="L18" s="30" t="str">
        <f t="shared" si="7"/>
        <v/>
      </c>
      <c r="O18" s="27">
        <v>10</v>
      </c>
      <c r="P18" s="2">
        <f t="shared" si="8"/>
        <v>6.88</v>
      </c>
      <c r="Q18" s="2">
        <f t="shared" si="9"/>
        <v>1.48</v>
      </c>
      <c r="R18" s="31">
        <f t="shared" si="10"/>
        <v>0.8</v>
      </c>
      <c r="S18" s="2">
        <f t="shared" si="11"/>
        <v>0.55000000000000004</v>
      </c>
      <c r="T18" s="2">
        <f t="shared" si="12"/>
        <v>0.44</v>
      </c>
    </row>
    <row r="19" spans="1:20">
      <c r="A19" s="27">
        <v>7</v>
      </c>
      <c r="D19" s="28"/>
      <c r="E19" s="28"/>
      <c r="F19" s="28"/>
      <c r="G19" s="28"/>
      <c r="H19" s="28"/>
      <c r="I19" s="29" t="str">
        <f t="shared" si="5"/>
        <v/>
      </c>
      <c r="J19" s="29" t="str">
        <f t="shared" si="6"/>
        <v/>
      </c>
      <c r="K19" s="28"/>
      <c r="L19" s="30" t="str">
        <f t="shared" si="7"/>
        <v/>
      </c>
      <c r="O19" s="27">
        <v>11</v>
      </c>
      <c r="P19" s="2">
        <f t="shared" si="8"/>
        <v>7.53</v>
      </c>
      <c r="Q19" s="2">
        <f t="shared" si="9"/>
        <v>1.62</v>
      </c>
      <c r="R19" s="31">
        <f t="shared" si="10"/>
        <v>0.87</v>
      </c>
      <c r="S19" s="2">
        <f t="shared" si="11"/>
        <v>0.6</v>
      </c>
      <c r="T19" s="2">
        <f t="shared" si="12"/>
        <v>0.48</v>
      </c>
    </row>
    <row r="20" spans="1:20">
      <c r="A20" s="27">
        <v>8</v>
      </c>
      <c r="D20" s="28"/>
      <c r="E20" s="28"/>
      <c r="F20" s="28"/>
      <c r="G20" s="28"/>
      <c r="H20" s="28"/>
      <c r="I20" s="29" t="str">
        <f t="shared" si="5"/>
        <v/>
      </c>
      <c r="J20" s="29" t="str">
        <f t="shared" si="6"/>
        <v/>
      </c>
      <c r="K20" s="28"/>
      <c r="L20" s="30" t="str">
        <f t="shared" si="7"/>
        <v/>
      </c>
      <c r="O20" s="27">
        <v>12</v>
      </c>
      <c r="P20" s="2">
        <f t="shared" si="8"/>
        <v>8.19</v>
      </c>
      <c r="Q20" s="2">
        <f t="shared" si="9"/>
        <v>1.76</v>
      </c>
      <c r="R20" s="31">
        <f t="shared" si="10"/>
        <v>0.94</v>
      </c>
      <c r="S20" s="2">
        <f t="shared" si="11"/>
        <v>0.65</v>
      </c>
      <c r="T20" s="2">
        <f t="shared" si="12"/>
        <v>0.52</v>
      </c>
    </row>
    <row r="21" spans="1:20">
      <c r="A21" s="27">
        <v>9</v>
      </c>
      <c r="D21" s="28"/>
      <c r="E21" s="28"/>
      <c r="F21" s="28"/>
      <c r="G21" s="28"/>
      <c r="H21" s="28"/>
      <c r="I21" s="29" t="str">
        <f t="shared" si="5"/>
        <v/>
      </c>
      <c r="J21" s="29" t="str">
        <f t="shared" si="6"/>
        <v/>
      </c>
      <c r="K21" s="28"/>
      <c r="L21" s="30" t="str">
        <f t="shared" si="7"/>
        <v/>
      </c>
      <c r="O21" s="27">
        <v>13</v>
      </c>
      <c r="P21" s="2">
        <f t="shared" si="8"/>
        <v>8.84</v>
      </c>
      <c r="Q21" s="2">
        <f t="shared" si="9"/>
        <v>1.9</v>
      </c>
      <c r="R21" s="31">
        <f t="shared" si="10"/>
        <v>1.02</v>
      </c>
      <c r="S21" s="2">
        <f t="shared" si="11"/>
        <v>0.69</v>
      </c>
      <c r="T21" s="2">
        <f t="shared" si="12"/>
        <v>0.56000000000000005</v>
      </c>
    </row>
    <row r="22" spans="1:20">
      <c r="A22" s="27">
        <v>10</v>
      </c>
      <c r="D22" s="28"/>
      <c r="E22" s="28"/>
      <c r="F22" s="28"/>
      <c r="G22" s="28"/>
      <c r="H22" s="28"/>
      <c r="I22" s="29" t="str">
        <f t="shared" si="5"/>
        <v/>
      </c>
      <c r="J22" s="29" t="str">
        <f t="shared" si="6"/>
        <v/>
      </c>
      <c r="K22" s="28"/>
      <c r="L22" s="30" t="str">
        <f t="shared" si="7"/>
        <v/>
      </c>
      <c r="O22" s="27">
        <v>14</v>
      </c>
      <c r="P22" s="2">
        <f t="shared" si="8"/>
        <v>9.5</v>
      </c>
      <c r="Q22" s="2">
        <f t="shared" si="9"/>
        <v>2.04</v>
      </c>
      <c r="R22" s="31">
        <f t="shared" si="10"/>
        <v>1.0900000000000001</v>
      </c>
      <c r="S22" s="2">
        <f t="shared" si="11"/>
        <v>0.74</v>
      </c>
      <c r="T22" s="2">
        <f t="shared" si="12"/>
        <v>0.6</v>
      </c>
    </row>
    <row r="23" spans="1:20">
      <c r="A23" s="27">
        <v>11</v>
      </c>
      <c r="D23" s="28"/>
      <c r="E23" s="28"/>
      <c r="F23" s="28"/>
      <c r="G23" s="28"/>
      <c r="H23" s="28"/>
      <c r="I23" s="29" t="str">
        <f t="shared" si="5"/>
        <v/>
      </c>
      <c r="J23" s="29" t="str">
        <f t="shared" si="6"/>
        <v/>
      </c>
      <c r="K23" s="28"/>
      <c r="L23" s="30" t="str">
        <f t="shared" si="7"/>
        <v/>
      </c>
    </row>
    <row r="24" spans="1:20">
      <c r="A24" s="27">
        <v>12</v>
      </c>
      <c r="D24" s="28"/>
      <c r="E24" s="28"/>
      <c r="F24" s="28"/>
      <c r="G24" s="28"/>
      <c r="H24" s="28"/>
      <c r="I24" s="29" t="str">
        <f t="shared" si="5"/>
        <v/>
      </c>
      <c r="J24" s="29" t="str">
        <f t="shared" si="6"/>
        <v/>
      </c>
      <c r="K24" s="28"/>
      <c r="L24" s="30" t="str">
        <f t="shared" si="7"/>
        <v/>
      </c>
    </row>
    <row r="25" spans="1:20">
      <c r="A25" s="27">
        <v>13</v>
      </c>
      <c r="D25" s="28"/>
      <c r="E25" s="28"/>
      <c r="F25" s="28"/>
      <c r="G25" s="28"/>
      <c r="H25" s="28"/>
      <c r="I25" s="29" t="str">
        <f t="shared" si="5"/>
        <v/>
      </c>
      <c r="J25" s="29" t="str">
        <f t="shared" si="6"/>
        <v/>
      </c>
      <c r="K25" s="28"/>
      <c r="L25" s="30" t="str">
        <f t="shared" si="7"/>
        <v/>
      </c>
    </row>
    <row r="26" spans="1:20">
      <c r="A26" s="27">
        <v>14</v>
      </c>
      <c r="D26" s="28"/>
      <c r="E26" s="28"/>
      <c r="F26" s="28"/>
      <c r="G26" s="28"/>
      <c r="H26" s="28"/>
      <c r="I26" s="29" t="str">
        <f t="shared" si="5"/>
        <v/>
      </c>
      <c r="J26" s="29" t="str">
        <f t="shared" si="6"/>
        <v/>
      </c>
      <c r="K26" s="28"/>
      <c r="L26" s="30" t="str">
        <f t="shared" si="7"/>
        <v/>
      </c>
    </row>
    <row r="27" spans="1:20">
      <c r="D27" s="28"/>
      <c r="E27" s="28"/>
      <c r="F27" s="28"/>
      <c r="G27" s="28"/>
      <c r="H27" s="28"/>
      <c r="I27" s="29" t="str">
        <f t="shared" si="5"/>
        <v/>
      </c>
      <c r="J27" s="29" t="str">
        <f t="shared" si="6"/>
        <v/>
      </c>
      <c r="K27" s="28"/>
      <c r="L27" s="30" t="str">
        <f t="shared" si="7"/>
        <v/>
      </c>
    </row>
    <row r="28" spans="1:20">
      <c r="A28" s="16" t="s">
        <v>44</v>
      </c>
      <c r="D28" s="28"/>
      <c r="E28" s="28"/>
      <c r="F28" s="28"/>
      <c r="G28" s="28"/>
      <c r="H28" s="28"/>
      <c r="I28" s="29" t="str">
        <f t="shared" si="5"/>
        <v/>
      </c>
      <c r="J28" s="29" t="str">
        <f t="shared" si="6"/>
        <v/>
      </c>
      <c r="K28" s="28"/>
      <c r="L28" s="30" t="str">
        <f t="shared" si="7"/>
        <v/>
      </c>
    </row>
    <row r="29" spans="1:20">
      <c r="A29" s="16">
        <v>0</v>
      </c>
      <c r="D29" s="28"/>
      <c r="E29" s="28"/>
      <c r="F29" s="28"/>
      <c r="G29" s="28"/>
      <c r="H29" s="28"/>
      <c r="I29" s="29" t="str">
        <f t="shared" si="5"/>
        <v/>
      </c>
      <c r="J29" s="29" t="str">
        <f t="shared" si="6"/>
        <v/>
      </c>
      <c r="K29" s="28"/>
      <c r="L29" s="30" t="str">
        <f t="shared" si="7"/>
        <v/>
      </c>
    </row>
    <row r="30" spans="1:20">
      <c r="A30" s="16">
        <v>0.5</v>
      </c>
      <c r="D30" s="28"/>
      <c r="E30" s="28"/>
      <c r="F30" s="28"/>
      <c r="G30" s="28"/>
      <c r="H30" s="28"/>
      <c r="I30" s="29" t="str">
        <f t="shared" si="5"/>
        <v/>
      </c>
      <c r="J30" s="29" t="str">
        <f t="shared" si="6"/>
        <v/>
      </c>
      <c r="K30" s="28"/>
      <c r="L30" s="30" t="str">
        <f t="shared" si="7"/>
        <v/>
      </c>
    </row>
    <row r="31" spans="1:20">
      <c r="A31" s="16">
        <v>1</v>
      </c>
      <c r="D31" s="28"/>
      <c r="E31" s="28"/>
      <c r="F31" s="28"/>
      <c r="G31" s="28"/>
      <c r="H31" s="28"/>
      <c r="I31" s="29" t="str">
        <f t="shared" si="5"/>
        <v/>
      </c>
      <c r="J31" s="29" t="str">
        <f t="shared" si="6"/>
        <v/>
      </c>
      <c r="K31" s="28"/>
      <c r="L31" s="30" t="str">
        <f t="shared" si="7"/>
        <v/>
      </c>
    </row>
    <row r="32" spans="1:20">
      <c r="A32" s="16">
        <v>1.5</v>
      </c>
      <c r="D32" s="28"/>
      <c r="E32" s="28"/>
      <c r="F32" s="28"/>
      <c r="G32" s="28"/>
      <c r="H32" s="28"/>
      <c r="I32" s="29" t="str">
        <f t="shared" si="5"/>
        <v/>
      </c>
      <c r="J32" s="29" t="str">
        <f t="shared" si="6"/>
        <v/>
      </c>
      <c r="K32" s="28"/>
      <c r="L32" s="30" t="str">
        <f t="shared" si="7"/>
        <v/>
      </c>
    </row>
    <row r="33" spans="1:12">
      <c r="A33" s="16">
        <v>2</v>
      </c>
      <c r="D33" s="28"/>
      <c r="E33" s="28"/>
      <c r="F33" s="28"/>
      <c r="G33" s="28"/>
      <c r="H33" s="28"/>
      <c r="I33" s="29" t="str">
        <f t="shared" si="5"/>
        <v/>
      </c>
      <c r="J33" s="29" t="str">
        <f t="shared" si="6"/>
        <v/>
      </c>
      <c r="K33" s="28"/>
      <c r="L33" s="30" t="str">
        <f t="shared" si="7"/>
        <v/>
      </c>
    </row>
    <row r="34" spans="1:12">
      <c r="D34" s="28"/>
      <c r="E34" s="28"/>
      <c r="F34" s="28"/>
      <c r="G34" s="28"/>
      <c r="H34" s="28"/>
      <c r="I34" s="29" t="str">
        <f t="shared" si="5"/>
        <v/>
      </c>
      <c r="J34" s="29" t="str">
        <f t="shared" si="6"/>
        <v/>
      </c>
      <c r="K34" s="28"/>
      <c r="L34" s="30" t="str">
        <f t="shared" si="7"/>
        <v/>
      </c>
    </row>
    <row r="35" spans="1:12">
      <c r="A35" s="16" t="s">
        <v>45</v>
      </c>
    </row>
    <row r="36" spans="1:12">
      <c r="A36" s="16" t="s">
        <v>46</v>
      </c>
    </row>
    <row r="37" spans="1:12">
      <c r="A37" s="16" t="s">
        <v>47</v>
      </c>
    </row>
  </sheetData>
  <mergeCells count="1">
    <mergeCell ref="J2:K2"/>
  </mergeCells>
  <dataValidations count="4">
    <dataValidation type="list" allowBlank="1" showInputMessage="1" showErrorMessage="1" sqref="G5:G34" xr:uid="{00000000-0002-0000-0400-000000000000}">
      <formula1>$A$36:$A$37</formula1>
    </dataValidation>
    <dataValidation type="list" allowBlank="1" showInputMessage="1" showErrorMessage="1" sqref="E5:F34" xr:uid="{00000000-0002-0000-0400-000001000000}">
      <formula1>$A$29:$A$33</formula1>
    </dataValidation>
    <dataValidation type="list" allowBlank="1" showInputMessage="1" showErrorMessage="1" sqref="D5:D34" xr:uid="{00000000-0002-0000-0400-000002000000}">
      <formula1>$A$9:$A$26</formula1>
    </dataValidation>
    <dataValidation type="list" allowBlank="1" showInputMessage="1" showErrorMessage="1" sqref="B5:C34" xr:uid="{00000000-0002-0000-0400-000003000000}">
      <formula1>$A$5:$A$6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S49"/>
  <sheetViews>
    <sheetView showGridLines="0" zoomScale="90" zoomScaleNormal="90" zoomScalePageLayoutView="90" workbookViewId="0">
      <selection activeCell="I33" sqref="I33"/>
    </sheetView>
  </sheetViews>
  <sheetFormatPr baseColWidth="10" defaultColWidth="10.1640625" defaultRowHeight="13"/>
  <cols>
    <col min="1" max="1" width="2.5" style="44" customWidth="1"/>
    <col min="2" max="2" width="5.5" style="44" customWidth="1"/>
    <col min="3" max="4" width="10.1640625" style="44"/>
    <col min="5" max="5" width="13.33203125" style="44" customWidth="1"/>
    <col min="6" max="6" width="13" style="44" customWidth="1"/>
    <col min="7" max="7" width="10.1640625" style="45"/>
    <col min="8" max="10" width="10.1640625" style="44"/>
    <col min="11" max="11" width="11.1640625" style="46" bestFit="1" customWidth="1"/>
    <col min="12" max="12" width="10.1640625" style="46"/>
    <col min="13" max="13" width="10.1640625" style="44"/>
    <col min="14" max="14" width="13.5" style="47" customWidth="1"/>
    <col min="15" max="15" width="10.1640625" style="47"/>
    <col min="16" max="16" width="14.83203125" style="47" customWidth="1"/>
    <col min="17" max="17" width="4.1640625" style="47" customWidth="1"/>
    <col min="18" max="18" width="10.1640625" style="48"/>
    <col min="19" max="256" width="10.1640625" style="44"/>
    <col min="257" max="257" width="2.5" style="44" customWidth="1"/>
    <col min="258" max="266" width="10.1640625" style="44"/>
    <col min="267" max="267" width="11.1640625" style="44" bestFit="1" customWidth="1"/>
    <col min="268" max="512" width="10.1640625" style="44"/>
    <col min="513" max="513" width="2.5" style="44" customWidth="1"/>
    <col min="514" max="522" width="10.1640625" style="44"/>
    <col min="523" max="523" width="11.1640625" style="44" bestFit="1" customWidth="1"/>
    <col min="524" max="768" width="10.1640625" style="44"/>
    <col min="769" max="769" width="2.5" style="44" customWidth="1"/>
    <col min="770" max="778" width="10.1640625" style="44"/>
    <col min="779" max="779" width="11.1640625" style="44" bestFit="1" customWidth="1"/>
    <col min="780" max="1024" width="10.1640625" style="44"/>
    <col min="1025" max="1025" width="2.5" style="44" customWidth="1"/>
    <col min="1026" max="1034" width="10.1640625" style="44"/>
    <col min="1035" max="1035" width="11.1640625" style="44" bestFit="1" customWidth="1"/>
    <col min="1036" max="1280" width="10.1640625" style="44"/>
    <col min="1281" max="1281" width="2.5" style="44" customWidth="1"/>
    <col min="1282" max="1290" width="10.1640625" style="44"/>
    <col min="1291" max="1291" width="11.1640625" style="44" bestFit="1" customWidth="1"/>
    <col min="1292" max="1536" width="10.1640625" style="44"/>
    <col min="1537" max="1537" width="2.5" style="44" customWidth="1"/>
    <col min="1538" max="1546" width="10.1640625" style="44"/>
    <col min="1547" max="1547" width="11.1640625" style="44" bestFit="1" customWidth="1"/>
    <col min="1548" max="1792" width="10.1640625" style="44"/>
    <col min="1793" max="1793" width="2.5" style="44" customWidth="1"/>
    <col min="1794" max="1802" width="10.1640625" style="44"/>
    <col min="1803" max="1803" width="11.1640625" style="44" bestFit="1" customWidth="1"/>
    <col min="1804" max="2048" width="10.1640625" style="44"/>
    <col min="2049" max="2049" width="2.5" style="44" customWidth="1"/>
    <col min="2050" max="2058" width="10.1640625" style="44"/>
    <col min="2059" max="2059" width="11.1640625" style="44" bestFit="1" customWidth="1"/>
    <col min="2060" max="2304" width="10.1640625" style="44"/>
    <col min="2305" max="2305" width="2.5" style="44" customWidth="1"/>
    <col min="2306" max="2314" width="10.1640625" style="44"/>
    <col min="2315" max="2315" width="11.1640625" style="44" bestFit="1" customWidth="1"/>
    <col min="2316" max="2560" width="10.1640625" style="44"/>
    <col min="2561" max="2561" width="2.5" style="44" customWidth="1"/>
    <col min="2562" max="2570" width="10.1640625" style="44"/>
    <col min="2571" max="2571" width="11.1640625" style="44" bestFit="1" customWidth="1"/>
    <col min="2572" max="2816" width="10.1640625" style="44"/>
    <col min="2817" max="2817" width="2.5" style="44" customWidth="1"/>
    <col min="2818" max="2826" width="10.1640625" style="44"/>
    <col min="2827" max="2827" width="11.1640625" style="44" bestFit="1" customWidth="1"/>
    <col min="2828" max="3072" width="10.1640625" style="44"/>
    <col min="3073" max="3073" width="2.5" style="44" customWidth="1"/>
    <col min="3074" max="3082" width="10.1640625" style="44"/>
    <col min="3083" max="3083" width="11.1640625" style="44" bestFit="1" customWidth="1"/>
    <col min="3084" max="3328" width="10.1640625" style="44"/>
    <col min="3329" max="3329" width="2.5" style="44" customWidth="1"/>
    <col min="3330" max="3338" width="10.1640625" style="44"/>
    <col min="3339" max="3339" width="11.1640625" style="44" bestFit="1" customWidth="1"/>
    <col min="3340" max="3584" width="10.1640625" style="44"/>
    <col min="3585" max="3585" width="2.5" style="44" customWidth="1"/>
    <col min="3586" max="3594" width="10.1640625" style="44"/>
    <col min="3595" max="3595" width="11.1640625" style="44" bestFit="1" customWidth="1"/>
    <col min="3596" max="3840" width="10.1640625" style="44"/>
    <col min="3841" max="3841" width="2.5" style="44" customWidth="1"/>
    <col min="3842" max="3850" width="10.1640625" style="44"/>
    <col min="3851" max="3851" width="11.1640625" style="44" bestFit="1" customWidth="1"/>
    <col min="3852" max="4096" width="10.1640625" style="44"/>
    <col min="4097" max="4097" width="2.5" style="44" customWidth="1"/>
    <col min="4098" max="4106" width="10.1640625" style="44"/>
    <col min="4107" max="4107" width="11.1640625" style="44" bestFit="1" customWidth="1"/>
    <col min="4108" max="4352" width="10.1640625" style="44"/>
    <col min="4353" max="4353" width="2.5" style="44" customWidth="1"/>
    <col min="4354" max="4362" width="10.1640625" style="44"/>
    <col min="4363" max="4363" width="11.1640625" style="44" bestFit="1" customWidth="1"/>
    <col min="4364" max="4608" width="10.1640625" style="44"/>
    <col min="4609" max="4609" width="2.5" style="44" customWidth="1"/>
    <col min="4610" max="4618" width="10.1640625" style="44"/>
    <col min="4619" max="4619" width="11.1640625" style="44" bestFit="1" customWidth="1"/>
    <col min="4620" max="4864" width="10.1640625" style="44"/>
    <col min="4865" max="4865" width="2.5" style="44" customWidth="1"/>
    <col min="4866" max="4874" width="10.1640625" style="44"/>
    <col min="4875" max="4875" width="11.1640625" style="44" bestFit="1" customWidth="1"/>
    <col min="4876" max="5120" width="10.1640625" style="44"/>
    <col min="5121" max="5121" width="2.5" style="44" customWidth="1"/>
    <col min="5122" max="5130" width="10.1640625" style="44"/>
    <col min="5131" max="5131" width="11.1640625" style="44" bestFit="1" customWidth="1"/>
    <col min="5132" max="5376" width="10.1640625" style="44"/>
    <col min="5377" max="5377" width="2.5" style="44" customWidth="1"/>
    <col min="5378" max="5386" width="10.1640625" style="44"/>
    <col min="5387" max="5387" width="11.1640625" style="44" bestFit="1" customWidth="1"/>
    <col min="5388" max="5632" width="10.1640625" style="44"/>
    <col min="5633" max="5633" width="2.5" style="44" customWidth="1"/>
    <col min="5634" max="5642" width="10.1640625" style="44"/>
    <col min="5643" max="5643" width="11.1640625" style="44" bestFit="1" customWidth="1"/>
    <col min="5644" max="5888" width="10.1640625" style="44"/>
    <col min="5889" max="5889" width="2.5" style="44" customWidth="1"/>
    <col min="5890" max="5898" width="10.1640625" style="44"/>
    <col min="5899" max="5899" width="11.1640625" style="44" bestFit="1" customWidth="1"/>
    <col min="5900" max="6144" width="10.1640625" style="44"/>
    <col min="6145" max="6145" width="2.5" style="44" customWidth="1"/>
    <col min="6146" max="6154" width="10.1640625" style="44"/>
    <col min="6155" max="6155" width="11.1640625" style="44" bestFit="1" customWidth="1"/>
    <col min="6156" max="6400" width="10.1640625" style="44"/>
    <col min="6401" max="6401" width="2.5" style="44" customWidth="1"/>
    <col min="6402" max="6410" width="10.1640625" style="44"/>
    <col min="6411" max="6411" width="11.1640625" style="44" bestFit="1" customWidth="1"/>
    <col min="6412" max="6656" width="10.1640625" style="44"/>
    <col min="6657" max="6657" width="2.5" style="44" customWidth="1"/>
    <col min="6658" max="6666" width="10.1640625" style="44"/>
    <col min="6667" max="6667" width="11.1640625" style="44" bestFit="1" customWidth="1"/>
    <col min="6668" max="6912" width="10.1640625" style="44"/>
    <col min="6913" max="6913" width="2.5" style="44" customWidth="1"/>
    <col min="6914" max="6922" width="10.1640625" style="44"/>
    <col min="6923" max="6923" width="11.1640625" style="44" bestFit="1" customWidth="1"/>
    <col min="6924" max="7168" width="10.1640625" style="44"/>
    <col min="7169" max="7169" width="2.5" style="44" customWidth="1"/>
    <col min="7170" max="7178" width="10.1640625" style="44"/>
    <col min="7179" max="7179" width="11.1640625" style="44" bestFit="1" customWidth="1"/>
    <col min="7180" max="7424" width="10.1640625" style="44"/>
    <col min="7425" max="7425" width="2.5" style="44" customWidth="1"/>
    <col min="7426" max="7434" width="10.1640625" style="44"/>
    <col min="7435" max="7435" width="11.1640625" style="44" bestFit="1" customWidth="1"/>
    <col min="7436" max="7680" width="10.1640625" style="44"/>
    <col min="7681" max="7681" width="2.5" style="44" customWidth="1"/>
    <col min="7682" max="7690" width="10.1640625" style="44"/>
    <col min="7691" max="7691" width="11.1640625" style="44" bestFit="1" customWidth="1"/>
    <col min="7692" max="7936" width="10.1640625" style="44"/>
    <col min="7937" max="7937" width="2.5" style="44" customWidth="1"/>
    <col min="7938" max="7946" width="10.1640625" style="44"/>
    <col min="7947" max="7947" width="11.1640625" style="44" bestFit="1" customWidth="1"/>
    <col min="7948" max="8192" width="10.1640625" style="44"/>
    <col min="8193" max="8193" width="2.5" style="44" customWidth="1"/>
    <col min="8194" max="8202" width="10.1640625" style="44"/>
    <col min="8203" max="8203" width="11.1640625" style="44" bestFit="1" customWidth="1"/>
    <col min="8204" max="8448" width="10.1640625" style="44"/>
    <col min="8449" max="8449" width="2.5" style="44" customWidth="1"/>
    <col min="8450" max="8458" width="10.1640625" style="44"/>
    <col min="8459" max="8459" width="11.1640625" style="44" bestFit="1" customWidth="1"/>
    <col min="8460" max="8704" width="10.1640625" style="44"/>
    <col min="8705" max="8705" width="2.5" style="44" customWidth="1"/>
    <col min="8706" max="8714" width="10.1640625" style="44"/>
    <col min="8715" max="8715" width="11.1640625" style="44" bestFit="1" customWidth="1"/>
    <col min="8716" max="8960" width="10.1640625" style="44"/>
    <col min="8961" max="8961" width="2.5" style="44" customWidth="1"/>
    <col min="8962" max="8970" width="10.1640625" style="44"/>
    <col min="8971" max="8971" width="11.1640625" style="44" bestFit="1" customWidth="1"/>
    <col min="8972" max="9216" width="10.1640625" style="44"/>
    <col min="9217" max="9217" width="2.5" style="44" customWidth="1"/>
    <col min="9218" max="9226" width="10.1640625" style="44"/>
    <col min="9227" max="9227" width="11.1640625" style="44" bestFit="1" customWidth="1"/>
    <col min="9228" max="9472" width="10.1640625" style="44"/>
    <col min="9473" max="9473" width="2.5" style="44" customWidth="1"/>
    <col min="9474" max="9482" width="10.1640625" style="44"/>
    <col min="9483" max="9483" width="11.1640625" style="44" bestFit="1" customWidth="1"/>
    <col min="9484" max="9728" width="10.1640625" style="44"/>
    <col min="9729" max="9729" width="2.5" style="44" customWidth="1"/>
    <col min="9730" max="9738" width="10.1640625" style="44"/>
    <col min="9739" max="9739" width="11.1640625" style="44" bestFit="1" customWidth="1"/>
    <col min="9740" max="9984" width="10.1640625" style="44"/>
    <col min="9985" max="9985" width="2.5" style="44" customWidth="1"/>
    <col min="9986" max="9994" width="10.1640625" style="44"/>
    <col min="9995" max="9995" width="11.1640625" style="44" bestFit="1" customWidth="1"/>
    <col min="9996" max="10240" width="10.1640625" style="44"/>
    <col min="10241" max="10241" width="2.5" style="44" customWidth="1"/>
    <col min="10242" max="10250" width="10.1640625" style="44"/>
    <col min="10251" max="10251" width="11.1640625" style="44" bestFit="1" customWidth="1"/>
    <col min="10252" max="10496" width="10.1640625" style="44"/>
    <col min="10497" max="10497" width="2.5" style="44" customWidth="1"/>
    <col min="10498" max="10506" width="10.1640625" style="44"/>
    <col min="10507" max="10507" width="11.1640625" style="44" bestFit="1" customWidth="1"/>
    <col min="10508" max="10752" width="10.1640625" style="44"/>
    <col min="10753" max="10753" width="2.5" style="44" customWidth="1"/>
    <col min="10754" max="10762" width="10.1640625" style="44"/>
    <col min="10763" max="10763" width="11.1640625" style="44" bestFit="1" customWidth="1"/>
    <col min="10764" max="11008" width="10.1640625" style="44"/>
    <col min="11009" max="11009" width="2.5" style="44" customWidth="1"/>
    <col min="11010" max="11018" width="10.1640625" style="44"/>
    <col min="11019" max="11019" width="11.1640625" style="44" bestFit="1" customWidth="1"/>
    <col min="11020" max="11264" width="10.1640625" style="44"/>
    <col min="11265" max="11265" width="2.5" style="44" customWidth="1"/>
    <col min="11266" max="11274" width="10.1640625" style="44"/>
    <col min="11275" max="11275" width="11.1640625" style="44" bestFit="1" customWidth="1"/>
    <col min="11276" max="11520" width="10.1640625" style="44"/>
    <col min="11521" max="11521" width="2.5" style="44" customWidth="1"/>
    <col min="11522" max="11530" width="10.1640625" style="44"/>
    <col min="11531" max="11531" width="11.1640625" style="44" bestFit="1" customWidth="1"/>
    <col min="11532" max="11776" width="10.1640625" style="44"/>
    <col min="11777" max="11777" width="2.5" style="44" customWidth="1"/>
    <col min="11778" max="11786" width="10.1640625" style="44"/>
    <col min="11787" max="11787" width="11.1640625" style="44" bestFit="1" customWidth="1"/>
    <col min="11788" max="12032" width="10.1640625" style="44"/>
    <col min="12033" max="12033" width="2.5" style="44" customWidth="1"/>
    <col min="12034" max="12042" width="10.1640625" style="44"/>
    <col min="12043" max="12043" width="11.1640625" style="44" bestFit="1" customWidth="1"/>
    <col min="12044" max="12288" width="10.1640625" style="44"/>
    <col min="12289" max="12289" width="2.5" style="44" customWidth="1"/>
    <col min="12290" max="12298" width="10.1640625" style="44"/>
    <col min="12299" max="12299" width="11.1640625" style="44" bestFit="1" customWidth="1"/>
    <col min="12300" max="12544" width="10.1640625" style="44"/>
    <col min="12545" max="12545" width="2.5" style="44" customWidth="1"/>
    <col min="12546" max="12554" width="10.1640625" style="44"/>
    <col min="12555" max="12555" width="11.1640625" style="44" bestFit="1" customWidth="1"/>
    <col min="12556" max="12800" width="10.1640625" style="44"/>
    <col min="12801" max="12801" width="2.5" style="44" customWidth="1"/>
    <col min="12802" max="12810" width="10.1640625" style="44"/>
    <col min="12811" max="12811" width="11.1640625" style="44" bestFit="1" customWidth="1"/>
    <col min="12812" max="13056" width="10.1640625" style="44"/>
    <col min="13057" max="13057" width="2.5" style="44" customWidth="1"/>
    <col min="13058" max="13066" width="10.1640625" style="44"/>
    <col min="13067" max="13067" width="11.1640625" style="44" bestFit="1" customWidth="1"/>
    <col min="13068" max="13312" width="10.1640625" style="44"/>
    <col min="13313" max="13313" width="2.5" style="44" customWidth="1"/>
    <col min="13314" max="13322" width="10.1640625" style="44"/>
    <col min="13323" max="13323" width="11.1640625" style="44" bestFit="1" customWidth="1"/>
    <col min="13324" max="13568" width="10.1640625" style="44"/>
    <col min="13569" max="13569" width="2.5" style="44" customWidth="1"/>
    <col min="13570" max="13578" width="10.1640625" style="44"/>
    <col min="13579" max="13579" width="11.1640625" style="44" bestFit="1" customWidth="1"/>
    <col min="13580" max="13824" width="10.1640625" style="44"/>
    <col min="13825" max="13825" width="2.5" style="44" customWidth="1"/>
    <col min="13826" max="13834" width="10.1640625" style="44"/>
    <col min="13835" max="13835" width="11.1640625" style="44" bestFit="1" customWidth="1"/>
    <col min="13836" max="14080" width="10.1640625" style="44"/>
    <col min="14081" max="14081" width="2.5" style="44" customWidth="1"/>
    <col min="14082" max="14090" width="10.1640625" style="44"/>
    <col min="14091" max="14091" width="11.1640625" style="44" bestFit="1" customWidth="1"/>
    <col min="14092" max="14336" width="10.1640625" style="44"/>
    <col min="14337" max="14337" width="2.5" style="44" customWidth="1"/>
    <col min="14338" max="14346" width="10.1640625" style="44"/>
    <col min="14347" max="14347" width="11.1640625" style="44" bestFit="1" customWidth="1"/>
    <col min="14348" max="14592" width="10.1640625" style="44"/>
    <col min="14593" max="14593" width="2.5" style="44" customWidth="1"/>
    <col min="14594" max="14602" width="10.1640625" style="44"/>
    <col min="14603" max="14603" width="11.1640625" style="44" bestFit="1" customWidth="1"/>
    <col min="14604" max="14848" width="10.1640625" style="44"/>
    <col min="14849" max="14849" width="2.5" style="44" customWidth="1"/>
    <col min="14850" max="14858" width="10.1640625" style="44"/>
    <col min="14859" max="14859" width="11.1640625" style="44" bestFit="1" customWidth="1"/>
    <col min="14860" max="15104" width="10.1640625" style="44"/>
    <col min="15105" max="15105" width="2.5" style="44" customWidth="1"/>
    <col min="15106" max="15114" width="10.1640625" style="44"/>
    <col min="15115" max="15115" width="11.1640625" style="44" bestFit="1" customWidth="1"/>
    <col min="15116" max="15360" width="10.1640625" style="44"/>
    <col min="15361" max="15361" width="2.5" style="44" customWidth="1"/>
    <col min="15362" max="15370" width="10.1640625" style="44"/>
    <col min="15371" max="15371" width="11.1640625" style="44" bestFit="1" customWidth="1"/>
    <col min="15372" max="15616" width="10.1640625" style="44"/>
    <col min="15617" max="15617" width="2.5" style="44" customWidth="1"/>
    <col min="15618" max="15626" width="10.1640625" style="44"/>
    <col min="15627" max="15627" width="11.1640625" style="44" bestFit="1" customWidth="1"/>
    <col min="15628" max="15872" width="10.1640625" style="44"/>
    <col min="15873" max="15873" width="2.5" style="44" customWidth="1"/>
    <col min="15874" max="15882" width="10.1640625" style="44"/>
    <col min="15883" max="15883" width="11.1640625" style="44" bestFit="1" customWidth="1"/>
    <col min="15884" max="16128" width="10.1640625" style="44"/>
    <col min="16129" max="16129" width="2.5" style="44" customWidth="1"/>
    <col min="16130" max="16138" width="10.1640625" style="44"/>
    <col min="16139" max="16139" width="11.1640625" style="44" bestFit="1" customWidth="1"/>
    <col min="16140" max="16384" width="10.1640625" style="44"/>
  </cols>
  <sheetData>
    <row r="1" spans="2:19" ht="14" thickBot="1"/>
    <row r="2" spans="2:19" ht="20.25" customHeight="1">
      <c r="B2" s="49"/>
      <c r="C2" s="50"/>
      <c r="D2" s="50"/>
      <c r="E2" s="50"/>
      <c r="F2" s="50"/>
      <c r="G2" s="51"/>
      <c r="H2" s="50"/>
      <c r="I2" s="50"/>
      <c r="J2" s="50"/>
      <c r="K2" s="52"/>
      <c r="L2" s="52"/>
      <c r="M2" s="50"/>
      <c r="N2" s="53"/>
      <c r="O2" s="53"/>
      <c r="P2" s="53"/>
      <c r="Q2" s="54"/>
    </row>
    <row r="3" spans="2:19">
      <c r="B3" s="55"/>
      <c r="C3" s="56"/>
      <c r="D3" s="56"/>
      <c r="E3" s="56"/>
      <c r="F3" s="56"/>
      <c r="G3" s="57"/>
      <c r="H3" s="56"/>
      <c r="I3" s="56"/>
      <c r="J3" s="56"/>
      <c r="K3" s="58"/>
      <c r="L3" s="58"/>
      <c r="M3" s="56"/>
      <c r="N3" s="59"/>
      <c r="O3" s="59"/>
      <c r="P3" s="59"/>
      <c r="Q3" s="60"/>
    </row>
    <row r="4" spans="2:19">
      <c r="B4" s="55"/>
      <c r="C4" s="61" t="s">
        <v>53</v>
      </c>
      <c r="D4" s="56"/>
      <c r="E4" s="56"/>
      <c r="F4" s="212" t="str">
        <f>'Heat Loss'!B2</f>
        <v xml:space="preserve"> Sample job </v>
      </c>
      <c r="G4" s="212"/>
      <c r="H4" s="212"/>
      <c r="I4" s="212"/>
      <c r="J4" s="56"/>
      <c r="K4" s="58"/>
      <c r="L4" s="58"/>
      <c r="M4" s="56"/>
      <c r="N4" s="59"/>
      <c r="O4" s="59"/>
      <c r="P4" s="59"/>
      <c r="Q4" s="60"/>
    </row>
    <row r="5" spans="2:19">
      <c r="B5" s="55"/>
      <c r="C5" s="56"/>
      <c r="D5" s="56"/>
      <c r="E5" s="56"/>
      <c r="F5" s="56"/>
      <c r="G5" s="57"/>
      <c r="H5" s="56"/>
      <c r="I5" s="56"/>
      <c r="J5" s="56"/>
      <c r="K5" s="58"/>
      <c r="L5" s="58"/>
      <c r="M5" s="56"/>
      <c r="N5" s="59"/>
      <c r="O5" s="59"/>
      <c r="P5" s="59"/>
      <c r="Q5" s="60"/>
    </row>
    <row r="6" spans="2:19">
      <c r="B6" s="55"/>
      <c r="C6" s="56" t="s">
        <v>54</v>
      </c>
      <c r="D6" s="56"/>
      <c r="E6" s="56"/>
      <c r="F6" s="56"/>
      <c r="G6" s="57"/>
      <c r="H6" s="56"/>
      <c r="I6" s="56"/>
      <c r="J6" s="56"/>
      <c r="K6" s="58"/>
      <c r="L6" s="58"/>
      <c r="M6" s="56"/>
      <c r="N6" s="59"/>
      <c r="O6" s="59"/>
      <c r="P6" s="59"/>
      <c r="Q6" s="60"/>
    </row>
    <row r="7" spans="2:19" ht="14" thickBot="1">
      <c r="B7" s="55"/>
      <c r="C7" s="56" t="s">
        <v>55</v>
      </c>
      <c r="D7" s="56"/>
      <c r="E7" s="56"/>
      <c r="F7" s="56"/>
      <c r="G7" s="57"/>
      <c r="H7" s="56"/>
      <c r="I7" s="56"/>
      <c r="J7" s="56"/>
      <c r="K7" s="58"/>
      <c r="L7" s="58"/>
      <c r="M7" s="56"/>
      <c r="N7" s="59"/>
      <c r="O7" s="59"/>
      <c r="P7" s="59"/>
      <c r="Q7" s="60"/>
    </row>
    <row r="8" spans="2:19">
      <c r="B8" s="55"/>
      <c r="C8" s="56" t="s">
        <v>56</v>
      </c>
      <c r="D8" s="56"/>
      <c r="E8" s="157">
        <f>'Heat Loss'!B5</f>
        <v>8</v>
      </c>
      <c r="F8" s="56" t="s">
        <v>57</v>
      </c>
      <c r="H8" s="56"/>
      <c r="I8" s="56"/>
      <c r="J8" s="56"/>
      <c r="K8" s="58"/>
      <c r="L8" s="58"/>
      <c r="M8" s="56"/>
      <c r="N8" s="59"/>
      <c r="O8" s="59"/>
      <c r="P8" s="59"/>
      <c r="Q8" s="60"/>
    </row>
    <row r="9" spans="2:19">
      <c r="B9" s="55"/>
      <c r="C9" s="56" t="s">
        <v>58</v>
      </c>
      <c r="D9" s="56"/>
      <c r="E9" s="159">
        <v>100000</v>
      </c>
      <c r="F9" s="56" t="s">
        <v>59</v>
      </c>
      <c r="H9" s="56"/>
      <c r="I9" s="56"/>
      <c r="J9" s="56"/>
      <c r="K9" s="58"/>
      <c r="L9" s="58"/>
      <c r="M9" s="56"/>
      <c r="N9" s="59"/>
      <c r="O9" s="59"/>
      <c r="P9" s="59"/>
      <c r="Q9" s="60"/>
      <c r="S9" s="48"/>
    </row>
    <row r="10" spans="2:19">
      <c r="B10" s="55"/>
      <c r="C10" s="56" t="s">
        <v>23</v>
      </c>
      <c r="D10" s="56"/>
      <c r="E10" s="63">
        <f>'Heat Loss'!T9</f>
        <v>0.8</v>
      </c>
      <c r="F10" s="56"/>
      <c r="H10" s="56"/>
      <c r="I10" s="56"/>
      <c r="J10" s="56"/>
      <c r="K10" s="58"/>
      <c r="L10" s="58"/>
      <c r="M10" s="56"/>
      <c r="N10" s="59"/>
      <c r="O10" s="59"/>
      <c r="P10" s="59"/>
      <c r="Q10" s="60"/>
      <c r="S10" s="48"/>
    </row>
    <row r="11" spans="2:19">
      <c r="B11" s="55"/>
      <c r="C11" s="56" t="s">
        <v>60</v>
      </c>
      <c r="D11" s="56"/>
      <c r="E11" s="62">
        <f>+E9*E10</f>
        <v>80000</v>
      </c>
      <c r="F11" s="56" t="s">
        <v>61</v>
      </c>
      <c r="H11" s="56"/>
      <c r="I11" s="56"/>
      <c r="J11" s="56"/>
      <c r="K11" s="58"/>
      <c r="L11" s="58"/>
      <c r="M11" s="56"/>
      <c r="N11" s="59"/>
      <c r="O11" s="59"/>
      <c r="P11" s="59"/>
      <c r="Q11" s="60"/>
      <c r="S11" s="48"/>
    </row>
    <row r="12" spans="2:19" ht="14" thickBot="1">
      <c r="B12" s="55"/>
      <c r="C12" s="64" t="s">
        <v>62</v>
      </c>
      <c r="D12" s="56"/>
      <c r="E12" s="65">
        <f>+E8/E10</f>
        <v>10</v>
      </c>
      <c r="F12" s="56" t="s">
        <v>63</v>
      </c>
      <c r="H12" s="56"/>
      <c r="I12" s="56"/>
      <c r="J12" s="56"/>
      <c r="K12" s="58"/>
      <c r="L12" s="58"/>
      <c r="M12" s="56"/>
      <c r="N12" s="59"/>
      <c r="O12" s="59"/>
      <c r="P12" s="59"/>
      <c r="Q12" s="60"/>
      <c r="S12" s="48"/>
    </row>
    <row r="13" spans="2:19">
      <c r="B13" s="55"/>
      <c r="C13" s="64"/>
      <c r="D13" s="56"/>
      <c r="E13" s="66"/>
      <c r="F13" s="56"/>
      <c r="G13" s="57"/>
      <c r="H13" s="56"/>
      <c r="I13" s="56"/>
      <c r="J13" s="56"/>
      <c r="K13" s="58"/>
      <c r="L13" s="58"/>
      <c r="M13" s="56"/>
      <c r="N13" s="59"/>
      <c r="O13" s="59"/>
      <c r="P13" s="59"/>
      <c r="Q13" s="60"/>
      <c r="S13" s="48"/>
    </row>
    <row r="14" spans="2:19" s="48" customFormat="1">
      <c r="B14" s="67"/>
      <c r="C14" s="68"/>
      <c r="D14" s="68" t="s">
        <v>24</v>
      </c>
      <c r="E14" s="68"/>
      <c r="F14" s="68"/>
      <c r="G14" s="69"/>
      <c r="H14" s="68"/>
      <c r="I14" s="68"/>
      <c r="J14" s="68"/>
      <c r="K14" s="70" t="s">
        <v>64</v>
      </c>
      <c r="L14" s="70" t="s">
        <v>64</v>
      </c>
      <c r="M14" s="71" t="s">
        <v>65</v>
      </c>
      <c r="N14" s="72" t="s">
        <v>66</v>
      </c>
      <c r="O14" s="72" t="s">
        <v>66</v>
      </c>
      <c r="P14" s="72" t="s">
        <v>66</v>
      </c>
      <c r="Q14" s="73"/>
    </row>
    <row r="15" spans="2:19" s="48" customFormat="1">
      <c r="B15" s="67"/>
      <c r="C15" s="68"/>
      <c r="D15" s="68" t="s">
        <v>67</v>
      </c>
      <c r="E15" s="68"/>
      <c r="F15" s="68" t="s">
        <v>41</v>
      </c>
      <c r="G15" s="69" t="s">
        <v>68</v>
      </c>
      <c r="H15" s="68"/>
      <c r="I15" s="74">
        <v>0.15</v>
      </c>
      <c r="J15" s="75">
        <v>0.15</v>
      </c>
      <c r="K15" s="76" t="s">
        <v>69</v>
      </c>
      <c r="L15" s="76" t="s">
        <v>69</v>
      </c>
      <c r="M15" s="71" t="s">
        <v>41</v>
      </c>
      <c r="N15" s="72" t="s">
        <v>41</v>
      </c>
      <c r="O15" s="72" t="s">
        <v>70</v>
      </c>
      <c r="P15" s="72" t="s">
        <v>71</v>
      </c>
      <c r="Q15" s="73"/>
    </row>
    <row r="16" spans="2:19" s="48" customFormat="1">
      <c r="B16" s="67"/>
      <c r="C16" s="68" t="s">
        <v>72</v>
      </c>
      <c r="D16" s="68" t="s">
        <v>73</v>
      </c>
      <c r="E16" s="68"/>
      <c r="F16" s="68" t="s">
        <v>69</v>
      </c>
      <c r="G16" s="69" t="s">
        <v>74</v>
      </c>
      <c r="H16" s="68" t="s">
        <v>69</v>
      </c>
      <c r="I16" s="68" t="s">
        <v>75</v>
      </c>
      <c r="J16" s="68" t="s">
        <v>76</v>
      </c>
      <c r="K16" s="70" t="s">
        <v>75</v>
      </c>
      <c r="L16" s="70" t="s">
        <v>76</v>
      </c>
      <c r="M16" s="71" t="s">
        <v>77</v>
      </c>
      <c r="N16" s="72" t="s">
        <v>78</v>
      </c>
      <c r="O16" s="72" t="s">
        <v>79</v>
      </c>
      <c r="P16" s="72" t="s">
        <v>78</v>
      </c>
      <c r="Q16" s="73"/>
    </row>
    <row r="17" spans="2:17" s="68" customFormat="1" ht="14" thickBot="1">
      <c r="B17" s="67"/>
      <c r="C17" s="77" t="s">
        <v>80</v>
      </c>
      <c r="D17" s="77" t="s">
        <v>81</v>
      </c>
      <c r="E17" s="77" t="s">
        <v>82</v>
      </c>
      <c r="F17" s="77" t="s">
        <v>83</v>
      </c>
      <c r="G17" s="78" t="s">
        <v>84</v>
      </c>
      <c r="H17" s="77" t="s">
        <v>85</v>
      </c>
      <c r="I17" s="77" t="s">
        <v>85</v>
      </c>
      <c r="J17" s="77" t="s">
        <v>85</v>
      </c>
      <c r="K17" s="79" t="s">
        <v>86</v>
      </c>
      <c r="L17" s="79" t="s">
        <v>86</v>
      </c>
      <c r="M17" s="80" t="s">
        <v>87</v>
      </c>
      <c r="N17" s="81" t="s">
        <v>88</v>
      </c>
      <c r="O17" s="81" t="s">
        <v>89</v>
      </c>
      <c r="P17" s="81" t="s">
        <v>90</v>
      </c>
      <c r="Q17" s="73"/>
    </row>
    <row r="18" spans="2:17" s="68" customFormat="1">
      <c r="B18" s="67"/>
      <c r="G18" s="69"/>
      <c r="K18" s="70"/>
      <c r="L18" s="70"/>
      <c r="M18" s="71"/>
      <c r="N18" s="72"/>
      <c r="O18" s="72"/>
      <c r="P18" s="72"/>
      <c r="Q18" s="73"/>
    </row>
    <row r="19" spans="2:17" s="48" customFormat="1">
      <c r="B19" s="67"/>
      <c r="C19" s="82">
        <v>8760</v>
      </c>
      <c r="D19" s="82">
        <v>30</v>
      </c>
      <c r="E19" s="82" t="s">
        <v>91</v>
      </c>
      <c r="F19" s="82" t="s">
        <v>92</v>
      </c>
      <c r="G19" s="83">
        <v>0.125</v>
      </c>
      <c r="H19" s="84"/>
      <c r="I19" s="85">
        <f>+H19*$I$15</f>
        <v>0</v>
      </c>
      <c r="J19" s="85">
        <f>+H19*$J$15</f>
        <v>0</v>
      </c>
      <c r="K19" s="85">
        <f>20.2*G19*G19*(D19+14.7)</f>
        <v>14.108437500000001</v>
      </c>
      <c r="L19" s="85">
        <f>+K19*0.25</f>
        <v>3.5271093750000002</v>
      </c>
      <c r="M19" s="86">
        <f>+K19*I19+L19*J19</f>
        <v>0</v>
      </c>
      <c r="N19" s="87">
        <f>0.001*M19*C19</f>
        <v>0</v>
      </c>
      <c r="O19" s="87">
        <f>+N19/0.8</f>
        <v>0</v>
      </c>
      <c r="P19" s="87">
        <f>+$E$12*N19</f>
        <v>0</v>
      </c>
      <c r="Q19" s="73"/>
    </row>
    <row r="20" spans="2:17" s="48" customFormat="1">
      <c r="B20" s="67"/>
      <c r="C20" s="82"/>
      <c r="D20" s="82"/>
      <c r="E20" s="82"/>
      <c r="F20" s="82"/>
      <c r="G20" s="83"/>
      <c r="H20" s="84"/>
      <c r="I20" s="85"/>
      <c r="J20" s="85"/>
      <c r="K20" s="85"/>
      <c r="L20" s="85"/>
      <c r="M20" s="86"/>
      <c r="N20" s="87"/>
      <c r="O20" s="87"/>
      <c r="P20" s="87"/>
      <c r="Q20" s="73"/>
    </row>
    <row r="21" spans="2:17" s="48" customFormat="1">
      <c r="B21" s="67"/>
      <c r="C21" s="82"/>
      <c r="D21" s="82"/>
      <c r="E21" s="82"/>
      <c r="F21" s="82"/>
      <c r="G21" s="83"/>
      <c r="H21" s="84"/>
      <c r="I21" s="85"/>
      <c r="J21" s="85"/>
      <c r="K21" s="85"/>
      <c r="L21" s="85"/>
      <c r="M21" s="86"/>
      <c r="N21" s="87"/>
      <c r="O21" s="87"/>
      <c r="P21" s="87"/>
      <c r="Q21" s="73"/>
    </row>
    <row r="22" spans="2:17" s="48" customFormat="1">
      <c r="B22" s="67"/>
      <c r="C22" s="82"/>
      <c r="D22" s="82"/>
      <c r="E22" s="82"/>
      <c r="F22" s="82"/>
      <c r="G22" s="83"/>
      <c r="H22" s="84"/>
      <c r="I22" s="85"/>
      <c r="J22" s="85"/>
      <c r="K22" s="85"/>
      <c r="L22" s="85"/>
      <c r="M22" s="86"/>
      <c r="N22" s="87"/>
      <c r="O22" s="87"/>
      <c r="P22" s="87"/>
      <c r="Q22" s="73"/>
    </row>
    <row r="23" spans="2:17" s="48" customFormat="1">
      <c r="B23" s="67"/>
      <c r="C23" s="82"/>
      <c r="D23" s="82"/>
      <c r="E23" s="82"/>
      <c r="F23" s="82"/>
      <c r="G23" s="83"/>
      <c r="H23" s="84"/>
      <c r="I23" s="85"/>
      <c r="J23" s="85"/>
      <c r="K23" s="85"/>
      <c r="L23" s="85"/>
      <c r="M23" s="86"/>
      <c r="N23" s="87"/>
      <c r="O23" s="87"/>
      <c r="P23" s="87"/>
      <c r="Q23" s="73"/>
    </row>
    <row r="24" spans="2:17" s="48" customFormat="1">
      <c r="B24" s="67"/>
      <c r="C24" s="82"/>
      <c r="D24" s="82"/>
      <c r="E24" s="82"/>
      <c r="F24" s="82"/>
      <c r="G24" s="83"/>
      <c r="H24" s="84"/>
      <c r="I24" s="85"/>
      <c r="J24" s="85"/>
      <c r="K24" s="85"/>
      <c r="L24" s="85"/>
      <c r="M24" s="86"/>
      <c r="N24" s="87"/>
      <c r="O24" s="87"/>
      <c r="P24" s="87"/>
      <c r="Q24" s="73"/>
    </row>
    <row r="25" spans="2:17" s="48" customFormat="1">
      <c r="B25" s="67"/>
      <c r="C25" s="82"/>
      <c r="D25" s="82"/>
      <c r="E25" s="82"/>
      <c r="F25" s="82"/>
      <c r="G25" s="83"/>
      <c r="H25" s="84"/>
      <c r="I25" s="85"/>
      <c r="J25" s="85"/>
      <c r="K25" s="85"/>
      <c r="L25" s="85"/>
      <c r="M25" s="86"/>
      <c r="N25" s="87"/>
      <c r="O25" s="87"/>
      <c r="P25" s="87"/>
      <c r="Q25" s="73"/>
    </row>
    <row r="26" spans="2:17" s="48" customFormat="1">
      <c r="B26" s="67"/>
      <c r="C26" s="82"/>
      <c r="D26" s="82"/>
      <c r="E26" s="82"/>
      <c r="F26" s="82"/>
      <c r="G26" s="83"/>
      <c r="H26" s="84"/>
      <c r="I26" s="85"/>
      <c r="J26" s="85"/>
      <c r="K26" s="85"/>
      <c r="L26" s="85"/>
      <c r="M26" s="86"/>
      <c r="N26" s="87"/>
      <c r="O26" s="87"/>
      <c r="P26" s="87"/>
      <c r="Q26" s="73"/>
    </row>
    <row r="27" spans="2:17" s="48" customFormat="1">
      <c r="B27" s="67"/>
      <c r="C27" s="82"/>
      <c r="D27" s="82"/>
      <c r="E27" s="82"/>
      <c r="F27" s="82"/>
      <c r="G27" s="83"/>
      <c r="H27" s="84"/>
      <c r="I27" s="85"/>
      <c r="J27" s="85"/>
      <c r="K27" s="85"/>
      <c r="L27" s="85"/>
      <c r="M27" s="86"/>
      <c r="N27" s="87"/>
      <c r="O27" s="87"/>
      <c r="P27" s="87"/>
      <c r="Q27" s="73"/>
    </row>
    <row r="28" spans="2:17" s="48" customFormat="1">
      <c r="B28" s="67"/>
      <c r="C28" s="82"/>
      <c r="D28" s="82"/>
      <c r="E28" s="82"/>
      <c r="F28" s="82"/>
      <c r="G28" s="83"/>
      <c r="H28" s="84"/>
      <c r="I28" s="85"/>
      <c r="J28" s="85"/>
      <c r="K28" s="85"/>
      <c r="L28" s="85"/>
      <c r="M28" s="86"/>
      <c r="N28" s="87"/>
      <c r="O28" s="87"/>
      <c r="P28" s="87"/>
      <c r="Q28" s="73"/>
    </row>
    <row r="29" spans="2:17" s="48" customFormat="1">
      <c r="B29" s="67"/>
      <c r="C29" s="68"/>
      <c r="D29" s="68"/>
      <c r="E29" s="68"/>
      <c r="F29" s="68"/>
      <c r="G29" s="69"/>
      <c r="H29" s="68"/>
      <c r="I29" s="70"/>
      <c r="J29" s="70"/>
      <c r="K29" s="70"/>
      <c r="L29" s="70"/>
      <c r="M29" s="88"/>
      <c r="N29" s="89"/>
      <c r="O29" s="89"/>
      <c r="P29" s="89"/>
      <c r="Q29" s="73"/>
    </row>
    <row r="30" spans="2:17">
      <c r="B30" s="55"/>
      <c r="C30" s="56"/>
      <c r="D30" s="56"/>
      <c r="E30" s="56"/>
      <c r="F30" s="56"/>
      <c r="G30" s="57"/>
      <c r="H30" s="68" t="s">
        <v>24</v>
      </c>
      <c r="I30" s="70" t="s">
        <v>24</v>
      </c>
      <c r="J30" s="58" t="s">
        <v>24</v>
      </c>
      <c r="K30" s="58" t="s">
        <v>24</v>
      </c>
      <c r="L30" s="58"/>
      <c r="M30" s="71"/>
      <c r="N30" s="89"/>
      <c r="O30" s="89"/>
      <c r="P30" s="89" t="s">
        <v>24</v>
      </c>
      <c r="Q30" s="60"/>
    </row>
    <row r="31" spans="2:17">
      <c r="B31" s="55"/>
      <c r="C31" s="56"/>
      <c r="D31" s="56"/>
      <c r="E31" s="56"/>
      <c r="F31" s="90" t="s">
        <v>93</v>
      </c>
      <c r="G31" s="91"/>
      <c r="H31" s="92">
        <f>SUM(H19:H30)</f>
        <v>0</v>
      </c>
      <c r="I31" s="93">
        <f>SUM(I19:I30)</f>
        <v>0</v>
      </c>
      <c r="J31" s="93">
        <f>SUM(J19:J30)</f>
        <v>0</v>
      </c>
      <c r="K31" s="58"/>
      <c r="L31" s="58"/>
      <c r="M31" s="71"/>
      <c r="N31" s="94">
        <f>SUM(N19:N30)</f>
        <v>0</v>
      </c>
      <c r="O31" s="94"/>
      <c r="P31" s="95">
        <f>SUM(P19:P30)</f>
        <v>0</v>
      </c>
      <c r="Q31" s="60"/>
    </row>
    <row r="32" spans="2:17">
      <c r="B32" s="55"/>
      <c r="C32" s="56"/>
      <c r="D32" s="56"/>
      <c r="E32" s="56"/>
      <c r="F32" s="56"/>
      <c r="G32" s="57"/>
      <c r="H32" s="56"/>
      <c r="I32" s="56"/>
      <c r="J32" s="56"/>
      <c r="K32" s="58"/>
      <c r="L32" s="58"/>
      <c r="M32" s="56"/>
      <c r="N32" s="59"/>
      <c r="O32" s="59"/>
      <c r="P32" s="96" t="s">
        <v>24</v>
      </c>
      <c r="Q32" s="60"/>
    </row>
    <row r="33" spans="2:17">
      <c r="B33" s="55"/>
      <c r="C33" s="56"/>
      <c r="D33" s="56"/>
      <c r="E33" s="56"/>
      <c r="F33" s="56"/>
      <c r="G33" s="57"/>
      <c r="H33" s="56"/>
      <c r="I33" s="56"/>
      <c r="J33" s="56"/>
      <c r="K33" s="58"/>
      <c r="L33" s="58"/>
      <c r="M33" s="97" t="s">
        <v>94</v>
      </c>
      <c r="N33" s="98">
        <f>+E11</f>
        <v>80000</v>
      </c>
      <c r="O33" s="98"/>
      <c r="P33" s="96"/>
      <c r="Q33" s="60"/>
    </row>
    <row r="34" spans="2:17">
      <c r="B34" s="55"/>
      <c r="C34" s="56"/>
      <c r="D34" s="56"/>
      <c r="E34" s="56"/>
      <c r="F34" s="56"/>
      <c r="G34" s="57"/>
      <c r="H34" s="56"/>
      <c r="I34" s="56"/>
      <c r="J34" s="56"/>
      <c r="K34" s="58"/>
      <c r="L34" s="58"/>
      <c r="M34" s="97" t="s">
        <v>95</v>
      </c>
      <c r="N34" s="99">
        <f>+N31/N33</f>
        <v>0</v>
      </c>
      <c r="O34" s="99"/>
      <c r="P34" s="96"/>
      <c r="Q34" s="60"/>
    </row>
    <row r="35" spans="2:17" ht="16">
      <c r="B35" s="55"/>
      <c r="C35" s="100" t="s">
        <v>24</v>
      </c>
      <c r="D35" s="101"/>
      <c r="E35" s="102"/>
      <c r="F35" s="102"/>
      <c r="G35" s="102"/>
      <c r="H35" s="102"/>
      <c r="I35" s="56"/>
      <c r="J35" s="56"/>
      <c r="K35" s="58"/>
      <c r="L35" s="58"/>
      <c r="M35" s="56"/>
      <c r="N35" s="59"/>
      <c r="O35" s="59"/>
      <c r="P35" s="59"/>
      <c r="Q35" s="60"/>
    </row>
    <row r="36" spans="2:17">
      <c r="B36" s="55"/>
      <c r="J36" s="114"/>
      <c r="K36" s="115"/>
      <c r="L36" s="115"/>
      <c r="M36" s="116" t="s">
        <v>96</v>
      </c>
      <c r="N36" s="162">
        <f>+N31*118/E10/2000</f>
        <v>0</v>
      </c>
      <c r="O36" s="103"/>
      <c r="Q36" s="60"/>
    </row>
    <row r="37" spans="2:17" ht="14" thickBot="1">
      <c r="B37" s="104"/>
      <c r="C37" s="105"/>
      <c r="D37" s="105"/>
      <c r="E37" s="105"/>
      <c r="F37" s="105"/>
      <c r="G37" s="106"/>
      <c r="H37" s="105"/>
      <c r="I37" s="105"/>
      <c r="J37" s="105"/>
      <c r="K37" s="107"/>
      <c r="L37" s="107"/>
      <c r="M37" s="105"/>
      <c r="N37" s="108"/>
      <c r="O37" s="108"/>
      <c r="P37" s="108"/>
      <c r="Q37" s="109"/>
    </row>
    <row r="39" spans="2:17">
      <c r="C39" s="44" t="s">
        <v>97</v>
      </c>
    </row>
    <row r="41" spans="2:17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110"/>
    </row>
    <row r="43" spans="2:17">
      <c r="N43" s="111"/>
      <c r="O43" s="111"/>
    </row>
    <row r="49" spans="14:16">
      <c r="N49" s="112"/>
      <c r="O49" s="112"/>
      <c r="P49" s="113"/>
    </row>
  </sheetData>
  <mergeCells count="2">
    <mergeCell ref="B41:N41"/>
    <mergeCell ref="F4:I4"/>
  </mergeCells>
  <phoneticPr fontId="26" type="noConversion"/>
  <pageMargins left="0.7" right="0.7" top="0.75" bottom="0.75" header="0.3" footer="0.3"/>
  <pageSetup scale="74" orientation="landscape" horizontalDpi="300" verticalDpi="300"/>
  <headerFooter>
    <oddHeader>&amp;L&amp;"Arial,Bold"
&amp;C&amp;"Arial,Bold"Extrapolated Steam Losses Through Malfunctioning SteamTraps &amp;R&amp;"Arial,Bold"2013</oddHeader>
    <oddFooter>&amp;L&amp;"Arial,Bold"ThermaXX Jackets LLC.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F40"/>
  <sheetViews>
    <sheetView topLeftCell="A15" workbookViewId="0">
      <selection activeCell="E38" sqref="E38"/>
    </sheetView>
  </sheetViews>
  <sheetFormatPr baseColWidth="10" defaultColWidth="8.83203125" defaultRowHeight="15"/>
  <cols>
    <col min="1" max="1" width="13" customWidth="1"/>
    <col min="2" max="2" width="25.6640625" customWidth="1"/>
    <col min="3" max="3" width="20.33203125" customWidth="1"/>
    <col min="4" max="4" width="30.5" customWidth="1"/>
    <col min="5" max="5" width="20.33203125" customWidth="1"/>
    <col min="6" max="6" width="22" customWidth="1"/>
  </cols>
  <sheetData>
    <row r="1" spans="1:6">
      <c r="A1" s="118"/>
      <c r="B1" s="118"/>
      <c r="C1" s="118"/>
      <c r="D1" s="118"/>
      <c r="E1" s="118"/>
      <c r="F1" s="118"/>
    </row>
    <row r="2" spans="1:6" ht="16">
      <c r="A2" s="217" t="s">
        <v>98</v>
      </c>
      <c r="B2" s="217"/>
      <c r="C2" s="217"/>
      <c r="D2" s="217"/>
      <c r="E2" s="217"/>
      <c r="F2" s="217"/>
    </row>
    <row r="3" spans="1:6">
      <c r="A3" s="119" t="s">
        <v>99</v>
      </c>
      <c r="B3" s="129">
        <v>400</v>
      </c>
      <c r="C3" s="135" t="s">
        <v>124</v>
      </c>
      <c r="D3" s="135"/>
      <c r="E3" s="135"/>
      <c r="F3" s="135"/>
    </row>
    <row r="4" spans="1:6">
      <c r="A4" s="119" t="s">
        <v>100</v>
      </c>
      <c r="B4" s="129">
        <v>400</v>
      </c>
      <c r="C4" s="119"/>
      <c r="D4" s="119"/>
      <c r="E4" s="119"/>
      <c r="F4" s="119"/>
    </row>
    <row r="5" spans="1:6">
      <c r="A5" s="119" t="s">
        <v>101</v>
      </c>
      <c r="B5" s="129">
        <v>449</v>
      </c>
      <c r="C5" s="119"/>
      <c r="D5" s="122"/>
      <c r="E5" s="119"/>
      <c r="F5" s="119"/>
    </row>
    <row r="6" spans="1:6">
      <c r="A6" s="119" t="s">
        <v>102</v>
      </c>
      <c r="B6" s="121">
        <f>SUM(B3:B5)</f>
        <v>1249</v>
      </c>
      <c r="C6" s="119"/>
      <c r="D6" s="119"/>
      <c r="E6" s="119"/>
      <c r="F6" s="119"/>
    </row>
    <row r="7" spans="1:6">
      <c r="A7" s="118"/>
      <c r="B7" s="118"/>
      <c r="C7" s="118"/>
      <c r="D7" s="118"/>
      <c r="E7" s="118"/>
      <c r="F7" s="118"/>
    </row>
    <row r="8" spans="1:6">
      <c r="A8" s="118"/>
      <c r="B8" s="118"/>
      <c r="C8" s="118"/>
      <c r="D8" s="118"/>
      <c r="E8" s="118"/>
      <c r="F8" s="118"/>
    </row>
    <row r="9" spans="1:6">
      <c r="A9" s="118"/>
      <c r="B9" s="118"/>
      <c r="C9" s="118"/>
      <c r="D9" s="118"/>
      <c r="E9" s="118"/>
      <c r="F9" s="118"/>
    </row>
    <row r="10" spans="1:6">
      <c r="A10" s="119"/>
      <c r="B10" s="214" t="s">
        <v>103</v>
      </c>
      <c r="C10" s="215"/>
      <c r="D10" s="216"/>
      <c r="E10" s="119"/>
      <c r="F10" s="119"/>
    </row>
    <row r="11" spans="1:6">
      <c r="A11" s="119"/>
      <c r="B11" s="126">
        <f>'Steam Trap Losses'!$H$31</f>
        <v>0</v>
      </c>
      <c r="C11" s="126">
        <f>'Steam Trap Losses'!$H$31</f>
        <v>0</v>
      </c>
      <c r="D11" s="133">
        <f>'Steam Trap Losses'!$H$31</f>
        <v>0</v>
      </c>
      <c r="E11" s="119"/>
      <c r="F11" s="119"/>
    </row>
    <row r="12" spans="1:6">
      <c r="A12" s="119"/>
      <c r="B12" s="122" t="s">
        <v>100</v>
      </c>
      <c r="C12" s="122" t="s">
        <v>104</v>
      </c>
      <c r="D12" s="122" t="s">
        <v>105</v>
      </c>
      <c r="E12" s="122" t="s">
        <v>106</v>
      </c>
      <c r="F12" s="122"/>
    </row>
    <row r="13" spans="1:6">
      <c r="A13" s="119"/>
      <c r="B13" s="123">
        <f>B11*B4</f>
        <v>0</v>
      </c>
      <c r="C13" s="123">
        <f>C11*B3</f>
        <v>0</v>
      </c>
      <c r="D13" s="123">
        <f>D11*B5</f>
        <v>0</v>
      </c>
      <c r="E13" s="121">
        <f>SUM(B13:D13)</f>
        <v>0</v>
      </c>
      <c r="F13" s="121"/>
    </row>
    <row r="14" spans="1:6" ht="16" thickBot="1">
      <c r="A14" s="119"/>
      <c r="B14" s="119"/>
      <c r="C14" s="131">
        <v>10</v>
      </c>
      <c r="D14" s="130" t="s">
        <v>107</v>
      </c>
      <c r="E14" s="120">
        <f>(B11/C14)*375</f>
        <v>0</v>
      </c>
      <c r="F14" s="119"/>
    </row>
    <row r="15" spans="1:6" ht="16" thickBot="1">
      <c r="A15" s="119"/>
      <c r="B15" s="119"/>
      <c r="C15" s="119"/>
      <c r="D15" s="124" t="s">
        <v>108</v>
      </c>
      <c r="E15" s="125">
        <f>SUM(E13:E14)</f>
        <v>0</v>
      </c>
      <c r="F15" s="119"/>
    </row>
    <row r="16" spans="1:6">
      <c r="A16" s="118"/>
      <c r="B16" s="118"/>
      <c r="C16" s="118"/>
      <c r="D16" s="118"/>
      <c r="E16" s="118"/>
      <c r="F16" s="118"/>
    </row>
    <row r="17" spans="1:6">
      <c r="A17" s="118"/>
      <c r="B17" s="118"/>
      <c r="C17" s="118"/>
      <c r="D17" s="118"/>
      <c r="E17" s="118"/>
      <c r="F17" s="118"/>
    </row>
    <row r="18" spans="1:6">
      <c r="A18" s="119" t="s">
        <v>109</v>
      </c>
      <c r="B18" s="119"/>
      <c r="C18" s="129">
        <f>'Heat Loss'!S9</f>
        <v>936.1639778399998</v>
      </c>
      <c r="D18" s="119"/>
      <c r="E18" s="119"/>
      <c r="F18" s="119"/>
    </row>
    <row r="19" spans="1:6">
      <c r="A19" s="119" t="s">
        <v>110</v>
      </c>
      <c r="B19" s="119"/>
      <c r="C19" s="129">
        <v>120</v>
      </c>
      <c r="D19" s="119" t="s">
        <v>121</v>
      </c>
      <c r="E19" s="119"/>
      <c r="F19" s="119"/>
    </row>
    <row r="20" spans="1:6">
      <c r="A20" s="119" t="s">
        <v>122</v>
      </c>
      <c r="B20" s="119"/>
      <c r="C20" s="120" t="e">
        <f>'Steam Trap Losses'!P31/'Steam Trap Losses'!H31</f>
        <v>#DIV/0!</v>
      </c>
      <c r="D20" s="119" t="s">
        <v>120</v>
      </c>
      <c r="E20" s="119"/>
      <c r="F20" s="119"/>
    </row>
    <row r="21" spans="1:6">
      <c r="A21" s="119" t="s">
        <v>111</v>
      </c>
      <c r="B21" s="119"/>
      <c r="C21" s="120">
        <v>0</v>
      </c>
      <c r="D21" s="119" t="s">
        <v>123</v>
      </c>
      <c r="E21" s="119"/>
      <c r="F21" s="119"/>
    </row>
    <row r="22" spans="1:6">
      <c r="A22" s="118"/>
      <c r="B22" s="118"/>
      <c r="C22" s="118"/>
      <c r="D22" s="118"/>
      <c r="E22" s="118"/>
      <c r="F22" s="118"/>
    </row>
    <row r="23" spans="1:6">
      <c r="A23" s="118"/>
      <c r="B23" s="118"/>
      <c r="C23" s="118"/>
      <c r="D23" s="118"/>
      <c r="E23" s="118"/>
      <c r="F23" s="118"/>
    </row>
    <row r="24" spans="1:6" ht="16">
      <c r="A24" s="217" t="s">
        <v>112</v>
      </c>
      <c r="B24" s="217"/>
      <c r="C24" s="217"/>
      <c r="D24" s="217"/>
      <c r="E24" s="217"/>
      <c r="F24" s="217"/>
    </row>
    <row r="25" spans="1:6">
      <c r="A25" s="119" t="s">
        <v>85</v>
      </c>
      <c r="B25" s="122">
        <f>'Steam Trap Losses'!H31</f>
        <v>0</v>
      </c>
      <c r="C25" s="122">
        <f>B25</f>
        <v>0</v>
      </c>
      <c r="D25" s="122">
        <f>B25</f>
        <v>0</v>
      </c>
      <c r="E25" s="122">
        <f>B25</f>
        <v>0</v>
      </c>
      <c r="F25" s="119"/>
    </row>
    <row r="26" spans="1:6">
      <c r="A26" s="119" t="s">
        <v>113</v>
      </c>
      <c r="B26" s="122" t="s">
        <v>114</v>
      </c>
      <c r="C26" s="122" t="s">
        <v>115</v>
      </c>
      <c r="D26" s="122" t="s">
        <v>116</v>
      </c>
      <c r="E26" s="122" t="s">
        <v>117</v>
      </c>
      <c r="F26" s="119"/>
    </row>
    <row r="27" spans="1:6">
      <c r="A27" s="118"/>
      <c r="B27" s="118"/>
      <c r="C27" s="118"/>
      <c r="D27" s="118"/>
      <c r="E27" s="118"/>
      <c r="F27" s="118"/>
    </row>
    <row r="28" spans="1:6">
      <c r="A28" s="119">
        <v>2013</v>
      </c>
      <c r="B28" s="120">
        <f>$C$18*$B$25</f>
        <v>0</v>
      </c>
      <c r="C28" s="120">
        <f>$C$19*$C$25</f>
        <v>0</v>
      </c>
      <c r="D28" s="120" t="e">
        <f>$C$20*$D$25</f>
        <v>#DIV/0!</v>
      </c>
      <c r="E28" s="120">
        <f>$C$21*$E$25</f>
        <v>0</v>
      </c>
      <c r="F28" s="119"/>
    </row>
    <row r="29" spans="1:6">
      <c r="A29" s="119">
        <v>2014</v>
      </c>
      <c r="B29" s="136">
        <f t="shared" ref="B29:B30" si="0">$C$18*$B$25</f>
        <v>0</v>
      </c>
      <c r="C29" s="136">
        <f t="shared" ref="C29:C30" si="1">$C$19*$C$25</f>
        <v>0</v>
      </c>
      <c r="D29" s="136" t="e">
        <f t="shared" ref="D29:D30" si="2">$C$20*$D$25</f>
        <v>#DIV/0!</v>
      </c>
      <c r="E29" s="136">
        <f t="shared" ref="E29:E30" si="3">$C$21*$E$25</f>
        <v>0</v>
      </c>
      <c r="F29" s="119"/>
    </row>
    <row r="30" spans="1:6">
      <c r="A30" s="119">
        <v>2015</v>
      </c>
      <c r="B30" s="136">
        <f t="shared" si="0"/>
        <v>0</v>
      </c>
      <c r="C30" s="136">
        <f t="shared" si="1"/>
        <v>0</v>
      </c>
      <c r="D30" s="136" t="e">
        <f t="shared" si="2"/>
        <v>#DIV/0!</v>
      </c>
      <c r="E30" s="136">
        <f t="shared" si="3"/>
        <v>0</v>
      </c>
      <c r="F30" s="119"/>
    </row>
    <row r="31" spans="1:6">
      <c r="A31" s="119"/>
      <c r="B31" s="121">
        <f>SUM(B28:B30)</f>
        <v>0</v>
      </c>
      <c r="C31" s="121">
        <f>SUM(C28:C30)</f>
        <v>0</v>
      </c>
      <c r="D31" s="121" t="e">
        <f>SUM(D28:D30)</f>
        <v>#DIV/0!</v>
      </c>
      <c r="E31" s="121">
        <f>SUM(E28:E30)</f>
        <v>0</v>
      </c>
      <c r="F31" s="119"/>
    </row>
    <row r="32" spans="1:6">
      <c r="A32" s="118"/>
      <c r="B32" s="118"/>
      <c r="C32" s="118"/>
      <c r="D32" s="118"/>
      <c r="E32" s="118"/>
      <c r="F32" s="118"/>
    </row>
    <row r="33" spans="1:6" ht="16" thickBot="1">
      <c r="A33" s="118"/>
      <c r="B33" s="119"/>
      <c r="C33" s="119"/>
      <c r="D33" s="119"/>
      <c r="E33" s="119"/>
      <c r="F33" s="118"/>
    </row>
    <row r="34" spans="1:6" ht="16" thickBot="1">
      <c r="A34" s="118"/>
      <c r="B34" s="124" t="s">
        <v>118</v>
      </c>
      <c r="C34" s="125" t="e">
        <f>SUM(B31:E31)</f>
        <v>#DIV/0!</v>
      </c>
      <c r="D34" s="119"/>
      <c r="E34" s="119"/>
      <c r="F34" s="118"/>
    </row>
    <row r="35" spans="1:6">
      <c r="A35" s="118"/>
      <c r="B35" s="119" t="s">
        <v>119</v>
      </c>
      <c r="C35" s="121" t="e">
        <f>C34/3</f>
        <v>#DIV/0!</v>
      </c>
      <c r="D35" s="119"/>
      <c r="E35" s="119"/>
      <c r="F35" s="118"/>
    </row>
    <row r="36" spans="1:6">
      <c r="A36" s="118"/>
      <c r="B36" s="118"/>
      <c r="C36" s="118"/>
      <c r="D36" s="118"/>
      <c r="E36" s="118"/>
      <c r="F36" s="118"/>
    </row>
    <row r="37" spans="1:6" ht="24">
      <c r="A37" s="118"/>
      <c r="B37" s="119"/>
      <c r="C37" s="127" t="e">
        <f>E15/C35*12</f>
        <v>#DIV/0!</v>
      </c>
      <c r="D37" s="128" t="s">
        <v>135</v>
      </c>
      <c r="E37" s="128"/>
      <c r="F37" s="118"/>
    </row>
    <row r="38" spans="1:6" ht="24">
      <c r="A38" s="218" t="s">
        <v>136</v>
      </c>
      <c r="B38" s="218"/>
      <c r="C38" s="218"/>
      <c r="D38" s="218"/>
      <c r="E38" s="160">
        <f>'Steam Trap Losses'!N36</f>
        <v>0</v>
      </c>
      <c r="F38" s="118"/>
    </row>
    <row r="39" spans="1:6" ht="25" thickBot="1">
      <c r="A39" s="219" t="s">
        <v>137</v>
      </c>
      <c r="B39" s="219"/>
      <c r="C39" s="219"/>
      <c r="D39" s="219"/>
      <c r="E39" s="158">
        <f>'Heat Loss'!P5</f>
        <v>109.12225560239449</v>
      </c>
    </row>
    <row r="40" spans="1:6" ht="25" thickTop="1">
      <c r="A40" s="213" t="s">
        <v>138</v>
      </c>
      <c r="B40" s="213"/>
      <c r="C40" s="213"/>
      <c r="D40" s="213"/>
      <c r="E40" s="161">
        <f>SUM(E38:E39)</f>
        <v>109.12225560239449</v>
      </c>
    </row>
  </sheetData>
  <mergeCells count="6">
    <mergeCell ref="A40:D40"/>
    <mergeCell ref="B10:D10"/>
    <mergeCell ref="A24:F24"/>
    <mergeCell ref="A2:F2"/>
    <mergeCell ref="A38:D38"/>
    <mergeCell ref="A39:D39"/>
  </mergeCells>
  <pageMargins left="0.7" right="0.7" top="0.75" bottom="0.75" header="0.3" footer="0.3"/>
  <pageSetup scale="81" orientation="landscape"/>
  <headerFooter>
    <oddHeader xml:space="preserve">&amp;C&amp;14ThermaXX LLC. Smart Jacket ROI Analysis&amp;11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Heat Loss</vt:lpstr>
      <vt:lpstr>Project Highlight</vt:lpstr>
      <vt:lpstr>Incentives</vt:lpstr>
      <vt:lpstr>Steam Usage</vt:lpstr>
      <vt:lpstr>PIPE</vt:lpstr>
      <vt:lpstr>Steam Trap Losses</vt:lpstr>
      <vt:lpstr>Smart Jacket ROI</vt:lpstr>
      <vt:lpstr>'Heat Loss'!Print_Area</vt:lpstr>
      <vt:lpstr>'Project Highlight'!Print_Area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Suzanne Rowe</cp:lastModifiedBy>
  <cp:lastPrinted>2013-04-22T20:00:17Z</cp:lastPrinted>
  <dcterms:created xsi:type="dcterms:W3CDTF">2011-05-25T22:55:20Z</dcterms:created>
  <dcterms:modified xsi:type="dcterms:W3CDTF">2018-12-12T19:21:35Z</dcterms:modified>
</cp:coreProperties>
</file>